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arusakova\Downloads\iac-enterprise\docs\assets\iac\admin-guide\"/>
    </mc:Choice>
  </mc:AlternateContent>
  <xr:revisionPtr revIDLastSave="0" documentId="13_ncr:1_{5A53EB9D-ACC6-48D2-9496-AFFB30BF03C4}" xr6:coauthVersionLast="47" xr6:coauthVersionMax="47" xr10:uidLastSave="{00000000-0000-0000-0000-000000000000}"/>
  <bookViews>
    <workbookView xWindow="-30828" yWindow="-108" windowWidth="30936" windowHeight="16896" tabRatio="500" xr2:uid="{00000000-000D-0000-FFFF-FFFF00000000}"/>
  </bookViews>
  <sheets>
    <sheet name="Volume" sheetId="10" r:id="rId1"/>
    <sheet name="Infrastructure" sheetId="2" r:id="rId2"/>
    <sheet name="Hardware costs" sheetId="7" r:id="rId3"/>
    <sheet name="Other vendors 2" sheetId="11" state="hidden" r:id="rId4"/>
    <sheet name="Other vendors specs" sheetId="8" state="hidden" r:id="rId5"/>
  </sheets>
  <definedNames>
    <definedName name="_xlnm._FilterDatabase" localSheetId="2" hidden="1">'Hardware costs'!$B$3:$F$21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5" i="2" l="1"/>
  <c r="E5" i="2"/>
  <c r="F7" i="2" l="1"/>
  <c r="H7" i="2" s="1"/>
  <c r="AL10" i="2" l="1"/>
  <c r="F10" i="2"/>
  <c r="B4" i="7"/>
  <c r="B6" i="7"/>
  <c r="B7" i="7"/>
  <c r="B8" i="7"/>
  <c r="P4" i="7"/>
  <c r="P5" i="7"/>
  <c r="P6" i="7"/>
  <c r="P7" i="7"/>
  <c r="P8" i="7"/>
  <c r="B9" i="7"/>
  <c r="P9" i="7"/>
  <c r="B10" i="7"/>
  <c r="P10" i="7"/>
  <c r="B11" i="7"/>
  <c r="P11" i="7"/>
  <c r="B12" i="7"/>
  <c r="P12" i="7"/>
  <c r="B13" i="7"/>
  <c r="P13" i="7"/>
  <c r="B14" i="7"/>
  <c r="P14" i="7"/>
  <c r="B15" i="7"/>
  <c r="P15" i="7"/>
  <c r="B16" i="7"/>
  <c r="P16" i="7"/>
  <c r="B17" i="7"/>
  <c r="P17" i="7"/>
  <c r="B18" i="7"/>
  <c r="P18" i="7"/>
  <c r="B19" i="7"/>
  <c r="P19" i="7"/>
  <c r="B20" i="7"/>
  <c r="P20" i="7"/>
  <c r="P21" i="7"/>
  <c r="T10" i="2"/>
  <c r="U10" i="2"/>
  <c r="X10" i="2"/>
  <c r="Y10" i="2"/>
  <c r="Z10" i="2"/>
  <c r="AP10" i="2"/>
  <c r="AL5" i="2"/>
  <c r="AL8" i="2"/>
  <c r="AN8" i="2" s="1"/>
  <c r="AL6" i="2"/>
  <c r="AL9" i="2"/>
  <c r="AL7" i="2"/>
  <c r="AN7" i="2" s="1"/>
  <c r="F8" i="2"/>
  <c r="H8" i="2" s="1"/>
  <c r="F6" i="2"/>
  <c r="H6" i="2" s="1"/>
  <c r="F9" i="2"/>
  <c r="H9" i="2" s="1"/>
  <c r="F5" i="2"/>
  <c r="H5" i="2" s="1"/>
  <c r="D11" i="10"/>
  <c r="D16" i="10" s="1"/>
  <c r="E15" i="10"/>
  <c r="E29" i="10" s="1"/>
  <c r="E16" i="10"/>
  <c r="E30" i="10" s="1"/>
  <c r="E38" i="10" s="1"/>
  <c r="E17" i="10"/>
  <c r="E31" i="10" s="1"/>
  <c r="F31" i="10" s="1"/>
  <c r="E18" i="10"/>
  <c r="E32" i="10" s="1"/>
  <c r="E26" i="10"/>
  <c r="E33" i="10"/>
  <c r="E34" i="10"/>
  <c r="D18" i="10"/>
  <c r="D32" i="10"/>
  <c r="D33" i="10"/>
  <c r="D17" i="10"/>
  <c r="D31" i="10"/>
  <c r="D15" i="10"/>
  <c r="D29" i="10"/>
  <c r="D34" i="10"/>
  <c r="F7" i="10"/>
  <c r="F19" i="10"/>
  <c r="F20" i="10" s="1"/>
  <c r="T5" i="2"/>
  <c r="U5" i="2"/>
  <c r="T8" i="2"/>
  <c r="U8" i="2"/>
  <c r="T9" i="2"/>
  <c r="U9" i="2"/>
  <c r="T7" i="2"/>
  <c r="U7" i="2"/>
  <c r="E26" i="11"/>
  <c r="F26" i="11"/>
  <c r="D26" i="11"/>
  <c r="N26" i="11"/>
  <c r="AY26" i="11"/>
  <c r="AQ26" i="11"/>
  <c r="AR26" i="11"/>
  <c r="AP26" i="11"/>
  <c r="AZ26" i="11"/>
  <c r="BB26" i="11"/>
  <c r="E27" i="11"/>
  <c r="F27" i="11"/>
  <c r="D27" i="11"/>
  <c r="N27" i="11"/>
  <c r="AY27" i="11"/>
  <c r="AQ27" i="11"/>
  <c r="AR27" i="11"/>
  <c r="AP27" i="11"/>
  <c r="AZ27" i="11"/>
  <c r="BB27" i="11"/>
  <c r="E28" i="11"/>
  <c r="F28" i="11"/>
  <c r="D28" i="11"/>
  <c r="N28" i="11"/>
  <c r="AQ28" i="11"/>
  <c r="AR28" i="11"/>
  <c r="AP28" i="11"/>
  <c r="AZ28" i="11"/>
  <c r="BB28" i="11"/>
  <c r="BB29" i="11"/>
  <c r="AZ29" i="11"/>
  <c r="AR29" i="11"/>
  <c r="AQ29" i="11"/>
  <c r="AP29" i="11"/>
  <c r="AA26" i="11"/>
  <c r="AA27" i="11"/>
  <c r="AA28" i="11"/>
  <c r="AA29" i="11"/>
  <c r="Z26" i="11"/>
  <c r="Z27" i="11"/>
  <c r="Z28" i="11"/>
  <c r="Z29" i="11"/>
  <c r="Y26" i="11"/>
  <c r="Y27" i="11"/>
  <c r="Y28" i="11"/>
  <c r="Y29" i="11"/>
  <c r="N29" i="11"/>
  <c r="F29" i="11"/>
  <c r="E29" i="11"/>
  <c r="D29" i="11"/>
  <c r="AW28" i="11"/>
  <c r="AV28" i="11"/>
  <c r="AU28" i="11"/>
  <c r="AF28" i="11"/>
  <c r="AE28" i="11"/>
  <c r="AD28" i="11"/>
  <c r="K28" i="11"/>
  <c r="J28" i="11"/>
  <c r="I28" i="11"/>
  <c r="AW27" i="11"/>
  <c r="AV27" i="11"/>
  <c r="AU27" i="11"/>
  <c r="AF27" i="11"/>
  <c r="AE27" i="11"/>
  <c r="AD27" i="11"/>
  <c r="K27" i="11"/>
  <c r="J27" i="11"/>
  <c r="I27" i="11"/>
  <c r="AW26" i="11"/>
  <c r="AV26" i="11"/>
  <c r="AU26" i="11"/>
  <c r="AF26" i="11"/>
  <c r="AE26" i="11"/>
  <c r="AD26" i="11"/>
  <c r="K26" i="11"/>
  <c r="J26" i="11"/>
  <c r="I26" i="11"/>
  <c r="E18" i="11"/>
  <c r="F18" i="11"/>
  <c r="D18" i="11"/>
  <c r="N18" i="11"/>
  <c r="AY18" i="11"/>
  <c r="AQ18" i="11"/>
  <c r="AR18" i="11"/>
  <c r="AP18" i="11"/>
  <c r="AZ18" i="11"/>
  <c r="BB18" i="11"/>
  <c r="M19" i="11"/>
  <c r="E19" i="11"/>
  <c r="F19" i="11"/>
  <c r="D19" i="11"/>
  <c r="N19" i="11"/>
  <c r="AY19" i="11"/>
  <c r="AQ19" i="11"/>
  <c r="AR19" i="11"/>
  <c r="AP19" i="11"/>
  <c r="AZ19" i="11"/>
  <c r="BB19" i="11"/>
  <c r="E20" i="11"/>
  <c r="F20" i="11"/>
  <c r="D20" i="11"/>
  <c r="N20" i="11"/>
  <c r="AY20" i="11"/>
  <c r="AQ20" i="11"/>
  <c r="AR20" i="11"/>
  <c r="AP20" i="11"/>
  <c r="AZ20" i="11"/>
  <c r="BB20" i="11"/>
  <c r="E21" i="11"/>
  <c r="F21" i="11"/>
  <c r="D21" i="11"/>
  <c r="N21" i="11"/>
  <c r="AQ21" i="11"/>
  <c r="AR21" i="11"/>
  <c r="AP21" i="11"/>
  <c r="AZ21" i="11"/>
  <c r="BB21" i="11"/>
  <c r="BB22" i="11"/>
  <c r="AZ22" i="11"/>
  <c r="AR22" i="11"/>
  <c r="AQ22" i="11"/>
  <c r="AP22" i="11"/>
  <c r="AA18" i="11"/>
  <c r="AA19" i="11"/>
  <c r="AA20" i="11"/>
  <c r="AA21" i="11"/>
  <c r="AA22" i="11"/>
  <c r="Z18" i="11"/>
  <c r="Z19" i="11"/>
  <c r="Z20" i="11"/>
  <c r="Z21" i="11"/>
  <c r="Z22" i="11"/>
  <c r="Y18" i="11"/>
  <c r="Y19" i="11"/>
  <c r="Y20" i="11"/>
  <c r="Y21" i="11"/>
  <c r="Y22" i="11"/>
  <c r="N22" i="11"/>
  <c r="F22" i="11"/>
  <c r="E22" i="11"/>
  <c r="D22" i="11"/>
  <c r="AW21" i="11"/>
  <c r="AV21" i="11"/>
  <c r="AU21" i="11"/>
  <c r="AF21" i="11"/>
  <c r="AE21" i="11"/>
  <c r="AD21" i="11"/>
  <c r="K21" i="11"/>
  <c r="J21" i="11"/>
  <c r="I21" i="11"/>
  <c r="AW20" i="11"/>
  <c r="AV20" i="11"/>
  <c r="AU20" i="11"/>
  <c r="AF20" i="11"/>
  <c r="AE20" i="11"/>
  <c r="AD20" i="11"/>
  <c r="K20" i="11"/>
  <c r="J20" i="11"/>
  <c r="I20" i="11"/>
  <c r="AW19" i="11"/>
  <c r="AV19" i="11"/>
  <c r="AU19" i="11"/>
  <c r="AF19" i="11"/>
  <c r="AE19" i="11"/>
  <c r="AD19" i="11"/>
  <c r="K19" i="11"/>
  <c r="J19" i="11"/>
  <c r="I19" i="11"/>
  <c r="AW18" i="11"/>
  <c r="AV18" i="11"/>
  <c r="AU18" i="11"/>
  <c r="AF18" i="11"/>
  <c r="AE18" i="11"/>
  <c r="AD18" i="11"/>
  <c r="K18" i="11"/>
  <c r="J18" i="11"/>
  <c r="I18" i="11"/>
  <c r="U6" i="2"/>
  <c r="T6" i="2"/>
  <c r="Z5" i="2"/>
  <c r="Y5" i="2"/>
  <c r="X8" i="2"/>
  <c r="Z7" i="2"/>
  <c r="Y7" i="2"/>
  <c r="X7" i="2"/>
  <c r="Z6" i="2"/>
  <c r="X5" i="2"/>
  <c r="Y6" i="2"/>
  <c r="X9" i="2"/>
  <c r="X6" i="2"/>
  <c r="Z8" i="2"/>
  <c r="Z9" i="2"/>
  <c r="Y9" i="2"/>
  <c r="Y8" i="2"/>
  <c r="F17" i="10" l="1"/>
  <c r="D39" i="10"/>
  <c r="F33" i="10"/>
  <c r="E39" i="10"/>
  <c r="F39" i="10" s="1"/>
  <c r="AM6" i="2" s="1"/>
  <c r="AN6" i="2" s="1"/>
  <c r="AP6" i="2" s="1"/>
  <c r="F29" i="10"/>
  <c r="F34" i="10"/>
  <c r="F14" i="10"/>
  <c r="F15" i="10" s="1"/>
  <c r="F18" i="10"/>
  <c r="F16" i="10"/>
  <c r="D30" i="10"/>
  <c r="F32" i="10"/>
  <c r="F8" i="10"/>
  <c r="F9" i="10"/>
  <c r="D26" i="10"/>
  <c r="F26" i="10" s="1"/>
  <c r="F10" i="10"/>
  <c r="F11" i="10"/>
  <c r="S9" i="2"/>
  <c r="S6" i="2"/>
  <c r="S5" i="2"/>
  <c r="S7" i="2"/>
  <c r="S10" i="2"/>
  <c r="U11" i="2"/>
  <c r="T11" i="2"/>
  <c r="AP8" i="2"/>
  <c r="S8" i="2"/>
  <c r="AP7" i="2"/>
  <c r="H11" i="2"/>
  <c r="D37" i="10" l="1"/>
  <c r="E37" i="10"/>
  <c r="D38" i="10"/>
  <c r="F38" i="10" s="1"/>
  <c r="AM9" i="2" s="1"/>
  <c r="AN9" i="2" s="1"/>
  <c r="AP9" i="2" s="1"/>
  <c r="F30" i="10"/>
  <c r="S11" i="2"/>
  <c r="F37" i="10" l="1"/>
  <c r="AM5" i="2" s="1"/>
  <c r="AN5" i="2" s="1"/>
  <c r="AP5" i="2" s="1"/>
  <c r="AP11" i="2" s="1"/>
  <c r="AN11" i="2" l="1"/>
</calcChain>
</file>

<file path=xl/sharedStrings.xml><?xml version="1.0" encoding="utf-8"?>
<sst xmlns="http://schemas.openxmlformats.org/spreadsheetml/2006/main" count="425" uniqueCount="193">
  <si>
    <r>
      <t xml:space="preserve">                                    </t>
    </r>
    <r>
      <rPr>
        <b/>
        <sz val="20"/>
        <color theme="1"/>
        <rFont val="Roboto"/>
      </rPr>
      <t>Workers, Agents, Bots Estimation</t>
    </r>
  </si>
  <si>
    <t>Input parameters</t>
  </si>
  <si>
    <t>Category</t>
  </si>
  <si>
    <t>Description</t>
  </si>
  <si>
    <t>Reference</t>
  </si>
  <si>
    <t>Use Case 1</t>
  </si>
  <si>
    <t xml:space="preserve">Total  </t>
  </si>
  <si>
    <t>Current manual process</t>
  </si>
  <si>
    <t>Transactions per day</t>
  </si>
  <si>
    <t>How much volume is processed per day on average?
Processing one business transaction is often equivalent to processing one document.</t>
  </si>
  <si>
    <t>Pages per transaction</t>
  </si>
  <si>
    <t>How many document pages are analyzed per transaction or document on average?</t>
  </si>
  <si>
    <t>Data fields per transaction</t>
  </si>
  <si>
    <t>How many data fields or data points are derived from documents?</t>
  </si>
  <si>
    <t>Workers availability (in hours per day)</t>
  </si>
  <si>
    <t>How many hours a day the process is actively executed?
For example when the process is executed in single geography during working hours the value is ~8 hours.</t>
  </si>
  <si>
    <t>Manual handling time (in seconds)</t>
  </si>
  <si>
    <t>How long does it take to complete one transaction manually before automation is introduced?</t>
  </si>
  <si>
    <t>Target automated process</t>
  </si>
  <si>
    <t>Straight Through Processing percentage (STP %)</t>
  </si>
  <si>
    <t>How much volume is processed without manual touch?</t>
  </si>
  <si>
    <t>Manual time per non-STP transaction (in seconds)</t>
  </si>
  <si>
    <t>Average time spent per transaction by SME on non STP document.</t>
  </si>
  <si>
    <t>RPA time per document (in seconds)</t>
  </si>
  <si>
    <t>Average time spent per transaction by RPA</t>
  </si>
  <si>
    <t>OCR time per document (in seconds)</t>
  </si>
  <si>
    <t>Average time spent per transaction by OCR</t>
  </si>
  <si>
    <t>ML time per document (in seconds)</t>
  </si>
  <si>
    <t>Average time spent per transaction by Machine Learning</t>
  </si>
  <si>
    <t>Number of steps in business process</t>
  </si>
  <si>
    <t>Typical process consists of around 20 steps</t>
  </si>
  <si>
    <t>Tower time per step (in seconds)</t>
  </si>
  <si>
    <t>Average time spent per transaction by Control Tower tasks (e.g. ETL, external API calls, etc.).
Typical Tower job takes under 1 second.</t>
  </si>
  <si>
    <t>Derived parameters</t>
  </si>
  <si>
    <t>Total</t>
  </si>
  <si>
    <t>Minimum number of workers before automation</t>
  </si>
  <si>
    <t>SMEs before automation</t>
  </si>
  <si>
    <t>Number of SMEs working in parallel</t>
  </si>
  <si>
    <t>Minimum number of workers in automated process</t>
  </si>
  <si>
    <t>SMEs</t>
  </si>
  <si>
    <t>RPA bots</t>
  </si>
  <si>
    <t>Number of RPA bots working in parallel</t>
  </si>
  <si>
    <t>OCR workers</t>
  </si>
  <si>
    <t>Number of OCR workers working in parallel</t>
  </si>
  <si>
    <t>ML model instances</t>
  </si>
  <si>
    <t>Number of ML model instances working in parallel</t>
  </si>
  <si>
    <t>Control Tower workers</t>
  </si>
  <si>
    <t>Number of Control Tower tasks running in parallel</t>
  </si>
  <si>
    <t>Number of jobs per second</t>
  </si>
  <si>
    <t>Hardware scaling factor</t>
  </si>
  <si>
    <t>Environment utilization</t>
  </si>
  <si>
    <t>How much of shared capactiy (Master, Analytics, MSSQL) is utilized by the use case.
If the number is more than 1, consider multiple deployments.</t>
  </si>
  <si>
    <t>RPA servers</t>
  </si>
  <si>
    <t>Minimum amount of RPA servers needed to handle the volume
up to 500 bots - horizontal scaling
500+ bots - consider multiple deployments</t>
  </si>
  <si>
    <t>BEP Agents</t>
  </si>
  <si>
    <t>Minimum amount of BEP Agent machines needed to handle the volume
up to 4 - horizontal scaling
5+ - consider multiple deployments</t>
  </si>
  <si>
    <t>Base capacity parameters</t>
  </si>
  <si>
    <t>Value</t>
  </si>
  <si>
    <t>OCR time per page (seconds)</t>
  </si>
  <si>
    <t>Manual time in WorkSpace per page per field (seconds)</t>
  </si>
  <si>
    <t>ML time per page per field (seconds)</t>
  </si>
  <si>
    <t>Parallel ML prediction workers per reference Agent server</t>
  </si>
  <si>
    <t>Parallel Control Tower Task workers per reference Agent server</t>
  </si>
  <si>
    <t>OCR workers per reference Agent server</t>
  </si>
  <si>
    <t>ML Search Engine trainings per reference Agent server</t>
  </si>
  <si>
    <t>Bots per reference RPA Windows Server</t>
  </si>
  <si>
    <t>Max number of jobs CT-BEP is able to process per second. Similar magnitude to number of concurrent jobs.</t>
  </si>
  <si>
    <t>Agent servers limit</t>
  </si>
  <si>
    <t>RPA Bots limit</t>
  </si>
  <si>
    <t>Simultaneous WorkSpace workers on a reference APP server</t>
  </si>
  <si>
    <t xml:space="preserve">                                     INFRASTRUCTURE SIZE AND COST CALCULATION</t>
  </si>
  <si>
    <t>WorkFusion</t>
  </si>
  <si>
    <t>Development / Pilot</t>
  </si>
  <si>
    <t>UAT</t>
  </si>
  <si>
    <t>Production</t>
  </si>
  <si>
    <t>Total, $</t>
  </si>
  <si>
    <t>Deployment</t>
  </si>
  <si>
    <t>Component</t>
  </si>
  <si>
    <t>Server</t>
  </si>
  <si>
    <t>HDD</t>
  </si>
  <si>
    <t>Cost per unit, $</t>
  </si>
  <si>
    <t>Units</t>
  </si>
  <si>
    <t>Cost, $</t>
  </si>
  <si>
    <t>Server unit, $</t>
  </si>
  <si>
    <t>HDD unit, $</t>
  </si>
  <si>
    <t>OS</t>
  </si>
  <si>
    <t>CPU</t>
  </si>
  <si>
    <t>RAM</t>
  </si>
  <si>
    <t xml:space="preserve">Cost, $ </t>
  </si>
  <si>
    <t>Environment</t>
  </si>
  <si>
    <t>MS Azure</t>
  </si>
  <si>
    <t>Master</t>
  </si>
  <si>
    <t>L-8-32</t>
  </si>
  <si>
    <t>L-4-16</t>
  </si>
  <si>
    <t>Agent</t>
  </si>
  <si>
    <t>Analytics</t>
  </si>
  <si>
    <t>W-4-16</t>
  </si>
  <si>
    <t>MS SQL</t>
  </si>
  <si>
    <t>S-4-16</t>
  </si>
  <si>
    <t>RPA</t>
  </si>
  <si>
    <t>W-8-16</t>
  </si>
  <si>
    <t>NAS or Shared FS (included into APP server price)</t>
  </si>
  <si>
    <t>L-8-33</t>
  </si>
  <si>
    <t xml:space="preserve"> </t>
  </si>
  <si>
    <t xml:space="preserve">                                 Hardware Costs, $, monthly</t>
  </si>
  <si>
    <t>Name</t>
  </si>
  <si>
    <t>Usage</t>
  </si>
  <si>
    <t>AWS type</t>
  </si>
  <si>
    <t>GCP type</t>
  </si>
  <si>
    <t>MS Azure Type</t>
  </si>
  <si>
    <t>IBM Cloud Type</t>
  </si>
  <si>
    <t>AWS</t>
  </si>
  <si>
    <t>GCP</t>
  </si>
  <si>
    <t>IBM Cloud</t>
  </si>
  <si>
    <t>On-premise</t>
  </si>
  <si>
    <t>RHEL</t>
  </si>
  <si>
    <t>m5.large</t>
  </si>
  <si>
    <t>n1-standard-2</t>
  </si>
  <si>
    <t>B2MS</t>
  </si>
  <si>
    <t>B1.2x4</t>
  </si>
  <si>
    <t>L-2-8</t>
  </si>
  <si>
    <t>Dev OCR</t>
  </si>
  <si>
    <t>B1.2x8</t>
  </si>
  <si>
    <t>m5.xlarge</t>
  </si>
  <si>
    <t>n1-standard-3</t>
  </si>
  <si>
    <t>B4MS</t>
  </si>
  <si>
    <t>B1.4x8</t>
  </si>
  <si>
    <t>n1-standard-4</t>
  </si>
  <si>
    <t>B1.4x16</t>
  </si>
  <si>
    <t>OCR</t>
  </si>
  <si>
    <t>c5.2xlarge</t>
  </si>
  <si>
    <t>n1-standard-8</t>
  </si>
  <si>
    <t>B8MS</t>
  </si>
  <si>
    <t>B1.8x16</t>
  </si>
  <si>
    <t>APP, BEP Agent</t>
  </si>
  <si>
    <t>m5.2xlarge</t>
  </si>
  <si>
    <t>B1.8x32</t>
  </si>
  <si>
    <t>m5.4xlarge</t>
  </si>
  <si>
    <t>n1-standard-16</t>
  </si>
  <si>
    <t>B16MS</t>
  </si>
  <si>
    <t>B1.16x64</t>
  </si>
  <si>
    <t>unattended bot</t>
  </si>
  <si>
    <t>Win VDI</t>
  </si>
  <si>
    <t>attended bot, attended webapp</t>
  </si>
  <si>
    <t>c5.xlarge</t>
  </si>
  <si>
    <t>Analytics, attended elastic</t>
  </si>
  <si>
    <t>Win Server</t>
  </si>
  <si>
    <t>unattended CR</t>
  </si>
  <si>
    <t>Server with 5 RPA bots</t>
  </si>
  <si>
    <t>DB</t>
  </si>
  <si>
    <t>Win SQL Server</t>
  </si>
  <si>
    <t>attended DB, unattended DB</t>
  </si>
  <si>
    <t>HDD-1TB</t>
  </si>
  <si>
    <t>Cost of 1TB disk space</t>
  </si>
  <si>
    <t>1TB of Disk</t>
  </si>
  <si>
    <t>SSD (gp2)</t>
  </si>
  <si>
    <t>SSD</t>
  </si>
  <si>
    <t>SAN</t>
  </si>
  <si>
    <t>Cloud costs</t>
  </si>
  <si>
    <t>Source</t>
  </si>
  <si>
    <t>Last updated</t>
  </si>
  <si>
    <t>AWS source</t>
  </si>
  <si>
    <t>https://calculator.s3.amazonaws.com/index.html</t>
  </si>
  <si>
    <t>GCP source</t>
  </si>
  <si>
    <t>https://cloud.google.com/products/calculator/</t>
  </si>
  <si>
    <t>MS Azure source</t>
  </si>
  <si>
    <t>https://azure.microsoft.com/en-us/pricing/calculator/</t>
  </si>
  <si>
    <t>IBM source</t>
  </si>
  <si>
    <t>https://cloud.ibm.com/gen1/infrastructure/provision/vs</t>
  </si>
  <si>
    <t xml:space="preserve">  Infrustructure Size and Cost Calculation</t>
  </si>
  <si>
    <t>Attended RPA Vendors</t>
  </si>
  <si>
    <t>Development</t>
  </si>
  <si>
    <t>Web App</t>
  </si>
  <si>
    <t>W-4-8</t>
  </si>
  <si>
    <t>200</t>
  </si>
  <si>
    <t>SQL Server</t>
  </si>
  <si>
    <t>S-8-16</t>
  </si>
  <si>
    <t>400</t>
  </si>
  <si>
    <t>ElasticSearch Server</t>
  </si>
  <si>
    <t>Bot</t>
  </si>
  <si>
    <t>50</t>
  </si>
  <si>
    <t>Total RPA</t>
  </si>
  <si>
    <t>Unattended RPA Vendors</t>
  </si>
  <si>
    <t>Control Room</t>
  </si>
  <si>
    <t>W-8-8</t>
  </si>
  <si>
    <t>100</t>
  </si>
  <si>
    <t>500</t>
  </si>
  <si>
    <t>W-2-8</t>
  </si>
  <si>
    <r>
      <t xml:space="preserve">                          </t>
    </r>
    <r>
      <rPr>
        <b/>
        <sz val="20"/>
        <color theme="1"/>
        <rFont val="Roboto"/>
      </rPr>
      <t xml:space="preserve">  Other Vendors</t>
    </r>
  </si>
  <si>
    <t>win</t>
  </si>
  <si>
    <t>sql server</t>
  </si>
  <si>
    <t>A</t>
  </si>
  <si>
    <t>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</si>
</sst>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[$-409]mmmm\ d\,\ yyyy;@"/>
    <numFmt numFmtId="167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2"/>
      <color theme="4" tint="-0.249977111117893"/>
      <name val="Calibri"/>
      <family val="2"/>
    </font>
    <font>
      <sz val="11"/>
      <color theme="1"/>
      <name val="Roboto"/>
    </font>
    <font>
      <b/>
      <sz val="11"/>
      <color theme="1"/>
      <name val="Roboto"/>
    </font>
    <font>
      <sz val="12"/>
      <color theme="1"/>
      <name val="Roboto"/>
    </font>
    <font>
      <b/>
      <sz val="12"/>
      <color theme="1"/>
      <name val="Roboto"/>
    </font>
    <font>
      <u/>
      <sz val="11"/>
      <color theme="4"/>
      <name val="Roboto"/>
    </font>
    <font>
      <sz val="10"/>
      <color theme="1"/>
      <name val="Roboto"/>
    </font>
    <font>
      <b/>
      <sz val="10"/>
      <color theme="1"/>
      <name val="Roboto"/>
    </font>
    <font>
      <sz val="11"/>
      <color theme="4" tint="0.59999389629810485"/>
      <name val="Roboto"/>
    </font>
    <font>
      <u/>
      <sz val="16"/>
      <color theme="4"/>
      <name val="Roboto"/>
    </font>
    <font>
      <b/>
      <sz val="20"/>
      <color theme="1"/>
      <name val="Roboto"/>
    </font>
    <font>
      <b/>
      <sz val="16"/>
      <color theme="1"/>
      <name val="Roboto"/>
    </font>
    <font>
      <u/>
      <sz val="11"/>
      <color theme="10"/>
      <name val="Roboto"/>
    </font>
    <font>
      <sz val="8"/>
      <name val="Calibri"/>
      <family val="2"/>
      <scheme val="minor"/>
    </font>
    <font>
      <sz val="20"/>
      <color theme="1"/>
      <name val="Roboto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0" applyFont="1"/>
    <xf numFmtId="165" fontId="0" fillId="0" borderId="0" xfId="0" applyNumberFormat="1"/>
    <xf numFmtId="44" fontId="0" fillId="0" borderId="0" xfId="1" applyFont="1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2" fillId="3" borderId="0" xfId="0" applyFont="1" applyFill="1"/>
    <xf numFmtId="0" fontId="5" fillId="3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4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0" xfId="1" applyNumberFormat="1" applyFont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7" fillId="0" borderId="0" xfId="0" applyFont="1" applyFill="1" applyBorder="1" applyAlignment="1">
      <alignment horizontal="left" vertical="center"/>
    </xf>
    <xf numFmtId="44" fontId="6" fillId="0" borderId="0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4" fontId="6" fillId="0" borderId="0" xfId="1" applyNumberFormat="1" applyFont="1" applyBorder="1" applyAlignment="1">
      <alignment horizontal="right" vertical="center"/>
    </xf>
    <xf numFmtId="4" fontId="6" fillId="0" borderId="0" xfId="1" applyNumberFormat="1" applyFont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64" fontId="7" fillId="2" borderId="0" xfId="1" applyNumberFormat="1" applyFont="1" applyFill="1" applyBorder="1" applyAlignment="1">
      <alignment horizontal="center" vertical="center"/>
    </xf>
    <xf numFmtId="4" fontId="7" fillId="2" borderId="0" xfId="1" applyNumberFormat="1" applyFont="1" applyFill="1" applyBorder="1" applyAlignment="1">
      <alignment horizontal="right" vertical="center"/>
    </xf>
    <xf numFmtId="4" fontId="7" fillId="2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1" fontId="6" fillId="0" borderId="0" xfId="0" applyNumberFormat="1" applyFont="1" applyFill="1" applyBorder="1" applyAlignment="1">
      <alignment horizontal="right" vertical="center"/>
    </xf>
    <xf numFmtId="1" fontId="6" fillId="0" borderId="0" xfId="0" applyNumberFormat="1" applyFont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left" vertical="center"/>
    </xf>
    <xf numFmtId="0" fontId="10" fillId="0" borderId="0" xfId="1" applyNumberFormat="1" applyFont="1" applyBorder="1" applyAlignment="1">
      <alignment horizontal="left" vertical="center"/>
    </xf>
    <xf numFmtId="4" fontId="11" fillId="0" borderId="0" xfId="1" applyNumberFormat="1" applyFont="1" applyBorder="1" applyAlignment="1">
      <alignment horizontal="right" vertical="center"/>
    </xf>
    <xf numFmtId="4" fontId="12" fillId="2" borderId="0" xfId="1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4" fontId="6" fillId="0" borderId="0" xfId="1" applyNumberFormat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right" vertical="center"/>
    </xf>
    <xf numFmtId="4" fontId="11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9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right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left" vertical="center"/>
    </xf>
    <xf numFmtId="0" fontId="8" fillId="6" borderId="0" xfId="0" applyFont="1" applyFill="1" applyBorder="1" applyAlignment="1">
      <alignment horizontal="right" vertical="center" wrapText="1"/>
    </xf>
    <xf numFmtId="4" fontId="8" fillId="6" borderId="0" xfId="0" applyNumberFormat="1" applyFont="1" applyFill="1" applyBorder="1" applyAlignment="1">
      <alignment horizontal="right" vertical="center" wrapText="1"/>
    </xf>
    <xf numFmtId="4" fontId="6" fillId="7" borderId="0" xfId="1" applyNumberFormat="1" applyFont="1" applyFill="1" applyBorder="1" applyAlignment="1">
      <alignment horizontal="right" vertical="center"/>
    </xf>
    <xf numFmtId="0" fontId="9" fillId="5" borderId="0" xfId="0" applyFont="1" applyFill="1" applyBorder="1" applyAlignment="1">
      <alignment vertical="center"/>
    </xf>
    <xf numFmtId="0" fontId="8" fillId="5" borderId="0" xfId="0" applyFont="1" applyFill="1" applyBorder="1" applyAlignment="1">
      <alignment horizontal="left" vertical="center"/>
    </xf>
    <xf numFmtId="0" fontId="6" fillId="5" borderId="0" xfId="0" applyFont="1" applyFill="1" applyBorder="1"/>
    <xf numFmtId="0" fontId="8" fillId="6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10" fillId="0" borderId="0" xfId="1" applyNumberFormat="1" applyFont="1" applyBorder="1" applyAlignment="1">
      <alignment vertical="center"/>
    </xf>
    <xf numFmtId="0" fontId="7" fillId="7" borderId="0" xfId="0" applyFont="1" applyFill="1" applyBorder="1" applyAlignment="1">
      <alignment horizontal="left" vertical="center"/>
    </xf>
    <xf numFmtId="4" fontId="7" fillId="7" borderId="0" xfId="1" applyNumberFormat="1" applyFont="1" applyFill="1" applyBorder="1" applyAlignment="1">
      <alignment horizontal="right" vertical="center"/>
    </xf>
    <xf numFmtId="164" fontId="7" fillId="7" borderId="0" xfId="1" applyNumberFormat="1" applyFont="1" applyFill="1" applyBorder="1" applyAlignment="1">
      <alignment horizontal="center" vertical="center"/>
    </xf>
    <xf numFmtId="4" fontId="12" fillId="7" borderId="0" xfId="1" applyNumberFormat="1" applyFont="1" applyFill="1" applyBorder="1" applyAlignment="1">
      <alignment horizontal="right" vertical="center"/>
    </xf>
    <xf numFmtId="4" fontId="13" fillId="2" borderId="0" xfId="1" applyNumberFormat="1" applyFont="1" applyFill="1" applyBorder="1" applyAlignment="1">
      <alignment horizontal="right" vertical="center"/>
    </xf>
    <xf numFmtId="4" fontId="7" fillId="9" borderId="0" xfId="1" applyNumberFormat="1" applyFont="1" applyFill="1" applyBorder="1" applyAlignment="1">
      <alignment horizontal="right" vertical="center"/>
    </xf>
    <xf numFmtId="4" fontId="6" fillId="8" borderId="0" xfId="1" applyNumberFormat="1" applyFont="1" applyFill="1" applyBorder="1" applyAlignment="1">
      <alignment horizontal="right" vertical="center"/>
    </xf>
    <xf numFmtId="4" fontId="7" fillId="4" borderId="0" xfId="1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/>
    </xf>
    <xf numFmtId="0" fontId="8" fillId="6" borderId="0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6" borderId="0" xfId="0" applyFont="1" applyFill="1" applyBorder="1"/>
    <xf numFmtId="0" fontId="8" fillId="5" borderId="0" xfId="0" applyFont="1" applyFill="1" applyBorder="1"/>
    <xf numFmtId="0" fontId="8" fillId="6" borderId="0" xfId="0" applyFont="1" applyFill="1" applyBorder="1" applyAlignment="1">
      <alignment horizontal="right"/>
    </xf>
    <xf numFmtId="0" fontId="6" fillId="2" borderId="0" xfId="0" applyFont="1" applyFill="1" applyBorder="1"/>
    <xf numFmtId="0" fontId="6" fillId="3" borderId="0" xfId="0" applyFont="1" applyFill="1"/>
    <xf numFmtId="0" fontId="6" fillId="3" borderId="0" xfId="0" applyFont="1" applyFill="1" applyAlignment="1">
      <alignment horizontal="left" vertical="center"/>
    </xf>
    <xf numFmtId="0" fontId="3" fillId="3" borderId="0" xfId="10" applyFill="1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center"/>
    </xf>
    <xf numFmtId="165" fontId="6" fillId="0" borderId="0" xfId="0" applyNumberFormat="1" applyFont="1"/>
    <xf numFmtId="44" fontId="6" fillId="0" borderId="0" xfId="1" applyFon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5" fontId="6" fillId="0" borderId="0" xfId="0" applyNumberFormat="1" applyFont="1" applyFill="1" applyAlignment="1">
      <alignment horizontal="left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horizontal="left" vertical="center"/>
    </xf>
    <xf numFmtId="44" fontId="6" fillId="0" borderId="0" xfId="1" applyFont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165" fontId="9" fillId="5" borderId="0" xfId="0" applyNumberFormat="1" applyFont="1" applyFill="1" applyAlignment="1">
      <alignment horizontal="left" vertical="center"/>
    </xf>
    <xf numFmtId="4" fontId="6" fillId="0" borderId="0" xfId="1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horizontal="right" vertical="center"/>
    </xf>
    <xf numFmtId="44" fontId="9" fillId="5" borderId="0" xfId="1" applyFont="1" applyFill="1" applyAlignment="1">
      <alignment horizontal="right" vertical="center"/>
    </xf>
    <xf numFmtId="0" fontId="9" fillId="5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9" fillId="5" borderId="0" xfId="0" applyFont="1" applyFill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5" fontId="6" fillId="0" borderId="0" xfId="0" applyNumberFormat="1" applyFont="1" applyAlignment="1">
      <alignment horizontal="left" vertical="center" indent="1"/>
    </xf>
    <xf numFmtId="44" fontId="6" fillId="0" borderId="0" xfId="1" applyFont="1" applyAlignment="1">
      <alignment horizontal="left" vertical="center" indent="1"/>
    </xf>
    <xf numFmtId="0" fontId="6" fillId="10" borderId="0" xfId="0" applyFont="1" applyFill="1" applyAlignment="1">
      <alignment horizontal="left" vertical="center" indent="1"/>
    </xf>
    <xf numFmtId="0" fontId="6" fillId="10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right" vertical="center"/>
    </xf>
    <xf numFmtId="165" fontId="6" fillId="10" borderId="0" xfId="0" applyNumberFormat="1" applyFont="1" applyFill="1" applyAlignment="1">
      <alignment horizontal="left" vertical="center"/>
    </xf>
    <xf numFmtId="4" fontId="6" fillId="10" borderId="0" xfId="1" applyNumberFormat="1" applyFont="1" applyFill="1" applyAlignment="1">
      <alignment horizontal="right" vertical="center"/>
    </xf>
    <xf numFmtId="4" fontId="6" fillId="10" borderId="0" xfId="0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horizontal="left" indent="1"/>
    </xf>
    <xf numFmtId="0" fontId="17" fillId="0" borderId="0" xfId="1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right" vertical="center" indent="1"/>
    </xf>
    <xf numFmtId="0" fontId="6" fillId="0" borderId="0" xfId="0" applyFont="1" applyFill="1" applyAlignment="1">
      <alignment horizontal="right" vertical="center" indent="1"/>
    </xf>
    <xf numFmtId="0" fontId="9" fillId="5" borderId="0" xfId="0" applyFont="1" applyFill="1" applyAlignment="1">
      <alignment horizontal="right" vertical="center" indent="1"/>
    </xf>
    <xf numFmtId="166" fontId="6" fillId="0" borderId="0" xfId="0" applyNumberFormat="1" applyFont="1" applyAlignment="1">
      <alignment horizontal="left" vertical="center" indent="1"/>
    </xf>
    <xf numFmtId="0" fontId="2" fillId="0" borderId="0" xfId="0" applyFont="1" applyFill="1"/>
    <xf numFmtId="0" fontId="14" fillId="0" borderId="0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1" fontId="6" fillId="0" borderId="0" xfId="1" applyNumberFormat="1" applyFont="1" applyBorder="1" applyAlignment="1">
      <alignment horizontal="right" vertical="center"/>
    </xf>
    <xf numFmtId="1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11" borderId="0" xfId="0" applyFont="1" applyFill="1" applyAlignment="1">
      <alignment horizontal="left" vertical="center" indent="1"/>
    </xf>
    <xf numFmtId="0" fontId="6" fillId="11" borderId="0" xfId="0" applyFont="1" applyFill="1" applyAlignment="1">
      <alignment horizontal="left" vertical="center"/>
    </xf>
    <xf numFmtId="0" fontId="6" fillId="11" borderId="0" xfId="0" applyFont="1" applyFill="1" applyAlignment="1">
      <alignment horizontal="right" vertical="center"/>
    </xf>
    <xf numFmtId="165" fontId="6" fillId="11" borderId="0" xfId="0" applyNumberFormat="1" applyFont="1" applyFill="1" applyAlignment="1">
      <alignment horizontal="left" vertical="center"/>
    </xf>
    <xf numFmtId="4" fontId="6" fillId="11" borderId="0" xfId="1" applyNumberFormat="1" applyFont="1" applyFill="1" applyAlignment="1">
      <alignment horizontal="right" vertical="center"/>
    </xf>
    <xf numFmtId="4" fontId="6" fillId="11" borderId="0" xfId="0" applyNumberFormat="1" applyFont="1" applyFill="1" applyAlignment="1">
      <alignment horizontal="right" vertical="center"/>
    </xf>
    <xf numFmtId="0" fontId="9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 wrapText="1" indent="1"/>
    </xf>
    <xf numFmtId="1" fontId="6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/>
    </xf>
    <xf numFmtId="0" fontId="9" fillId="6" borderId="0" xfId="0" applyFont="1" applyFill="1" applyAlignment="1">
      <alignment horizontal="left" vertical="center" wrapText="1" indent="1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6" fillId="0" borderId="0" xfId="0" applyFont="1" applyFill="1" applyAlignment="1">
      <alignment horizontal="left" vertical="top" indent="1"/>
    </xf>
    <xf numFmtId="0" fontId="6" fillId="0" borderId="0" xfId="0" applyFont="1" applyFill="1" applyAlignment="1">
      <alignment horizontal="left" vertical="top" wrapText="1" indent="1"/>
    </xf>
    <xf numFmtId="1" fontId="6" fillId="0" borderId="0" xfId="0" applyNumberFormat="1" applyFont="1" applyFill="1" applyAlignment="1">
      <alignment horizontal="right" vertical="top" indent="1"/>
    </xf>
    <xf numFmtId="1" fontId="6" fillId="0" borderId="0" xfId="0" applyNumberFormat="1" applyFont="1" applyAlignment="1">
      <alignment horizontal="left" vertical="top" indent="1"/>
    </xf>
    <xf numFmtId="1" fontId="6" fillId="0" borderId="0" xfId="0" applyNumberFormat="1" applyFont="1" applyFill="1" applyAlignment="1">
      <alignment horizontal="left" vertical="top" indent="1"/>
    </xf>
    <xf numFmtId="0" fontId="0" fillId="0" borderId="0" xfId="0" applyFill="1"/>
    <xf numFmtId="0" fontId="9" fillId="0" borderId="0" xfId="0" applyFont="1" applyFill="1" applyAlignment="1">
      <alignment horizontal="left" vertical="center" indent="1"/>
    </xf>
    <xf numFmtId="0" fontId="9" fillId="6" borderId="0" xfId="0" applyFont="1" applyFill="1" applyAlignment="1">
      <alignment vertical="center" wrapText="1"/>
    </xf>
    <xf numFmtId="0" fontId="9" fillId="12" borderId="0" xfId="0" applyFont="1" applyFill="1" applyAlignment="1">
      <alignment horizontal="left" vertical="center" wrapText="1" indent="1"/>
    </xf>
    <xf numFmtId="1" fontId="6" fillId="12" borderId="0" xfId="0" applyNumberFormat="1" applyFont="1" applyFill="1" applyAlignment="1">
      <alignment horizontal="right" vertical="top" indent="1"/>
    </xf>
    <xf numFmtId="0" fontId="9" fillId="13" borderId="0" xfId="0" applyFont="1" applyFill="1" applyAlignment="1">
      <alignment horizontal="left" vertical="center" wrapText="1" indent="1"/>
    </xf>
    <xf numFmtId="0" fontId="7" fillId="12" borderId="0" xfId="0" applyFont="1" applyFill="1" applyAlignment="1">
      <alignment horizontal="left" vertical="center" wrapText="1" indent="1"/>
    </xf>
    <xf numFmtId="0" fontId="7" fillId="13" borderId="0" xfId="0" applyFont="1" applyFill="1" applyAlignment="1">
      <alignment horizontal="left" vertical="center" wrapText="1" indent="1"/>
    </xf>
    <xf numFmtId="167" fontId="6" fillId="0" borderId="0" xfId="13" applyNumberFormat="1" applyFont="1" applyAlignment="1">
      <alignment horizontal="right" vertical="top" indent="1"/>
    </xf>
    <xf numFmtId="167" fontId="6" fillId="12" borderId="0" xfId="13" applyNumberFormat="1" applyFont="1" applyFill="1" applyAlignment="1">
      <alignment horizontal="right" vertical="top" indent="1"/>
    </xf>
    <xf numFmtId="4" fontId="7" fillId="14" borderId="0" xfId="1" applyNumberFormat="1" applyFont="1" applyFill="1" applyBorder="1" applyAlignment="1">
      <alignment horizontal="right" vertical="center"/>
    </xf>
    <xf numFmtId="0" fontId="6" fillId="14" borderId="0" xfId="0" applyFont="1" applyFill="1"/>
    <xf numFmtId="0" fontId="6" fillId="14" borderId="0" xfId="0" applyFont="1" applyFill="1" applyAlignment="1">
      <alignment horizontal="left" vertical="center"/>
    </xf>
    <xf numFmtId="0" fontId="6" fillId="0" borderId="0" xfId="0" applyFont="1" applyFill="1"/>
    <xf numFmtId="0" fontId="16" fillId="0" borderId="0" xfId="0" applyFont="1" applyAlignment="1">
      <alignment vertical="center"/>
    </xf>
    <xf numFmtId="0" fontId="8" fillId="0" borderId="0" xfId="0" applyFont="1" applyBorder="1" applyAlignment="1">
      <alignment horizontal="right"/>
    </xf>
    <xf numFmtId="0" fontId="10" fillId="0" borderId="0" xfId="1" applyNumberFormat="1" applyFont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right" vertical="center"/>
    </xf>
    <xf numFmtId="164" fontId="7" fillId="2" borderId="0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10" applyAlignment="1">
      <alignment horizontal="left" vertical="center" indent="1"/>
    </xf>
    <xf numFmtId="2" fontId="6" fillId="0" borderId="0" xfId="0" applyNumberFormat="1" applyFont="1" applyAlignment="1">
      <alignment horizontal="right" vertical="top" indent="1"/>
    </xf>
    <xf numFmtId="2" fontId="6" fillId="12" borderId="0" xfId="0" applyNumberFormat="1" applyFont="1" applyFill="1" applyAlignment="1">
      <alignment horizontal="right" vertical="top" indent="1"/>
    </xf>
    <xf numFmtId="0" fontId="16" fillId="0" borderId="0" xfId="0" applyFont="1" applyAlignment="1">
      <alignment horizontal="left" vertical="center"/>
    </xf>
    <xf numFmtId="0" fontId="7" fillId="6" borderId="0" xfId="0" applyFont="1" applyFill="1" applyAlignment="1">
      <alignment horizontal="left" vertical="center" wrapText="1" indent="1"/>
    </xf>
    <xf numFmtId="0" fontId="14" fillId="0" borderId="0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left" vertical="center"/>
    </xf>
    <xf numFmtId="0" fontId="9" fillId="9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1" fontId="9" fillId="13" borderId="0" xfId="0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/>
    </xf>
    <xf numFmtId="0" fontId="7" fillId="6" borderId="0" xfId="0" applyFont="1" applyFill="1" applyAlignment="1">
      <alignment horizontal="left" vertical="center" wrapText="1" indent="1"/>
    </xf>
    <xf numFmtId="0" fontId="6" fillId="0" borderId="0" xfId="0" applyFont="1" applyBorder="1" applyAlignment="1">
      <alignment horizontal="left" wrapText="1"/>
    </xf>
    <xf numFmtId="0" fontId="15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9" fillId="13" borderId="0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left" vertical="center" indent="1"/>
    </xf>
    <xf numFmtId="0" fontId="9" fillId="5" borderId="0" xfId="0" applyFont="1" applyFill="1" applyBorder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0" fontId="9" fillId="9" borderId="0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14">
    <cellStyle name="Comma" xfId="13" builtinId="3"/>
    <cellStyle name="Currency" xfId="1" builtinId="4"/>
    <cellStyle name="Followed Hyperlink" xfId="11" builtinId="9" hidden="1"/>
    <cellStyle name="Followed Hyperlink" xfId="12" builtinId="9" hidden="1"/>
    <cellStyle name="Followed Hyperlink" xfId="7" builtinId="9" hidden="1"/>
    <cellStyle name="Followed Hyperlink" xfId="9" builtinId="9" hidden="1"/>
    <cellStyle name="Followed Hyperlink" xfId="5" builtinId="9" hidden="1"/>
    <cellStyle name="Followed Hyperlink" xfId="3" builtinId="9" hidden="1"/>
    <cellStyle name="Hyperlink" xfId="8" builtinId="8" hidden="1"/>
    <cellStyle name="Hyperlink" xfId="6" builtinId="8" hidden="1"/>
    <cellStyle name="Hyperlink" xfId="4" builtinId="8" hidden="1"/>
    <cellStyle name="Hyperlink" xfId="2" builtinId="8" hidden="1"/>
    <cellStyle name="Hyperlink" xfId="10" builtinId="8"/>
    <cellStyle name="Normal" xfId="0" builtinId="0"/>
  </cellStyles>
  <dxfs count="0"/>
  <tableStyles count="0" defaultTableStyle="TableStyleMedium9" defaultPivotStyle="PivotStyleMedium7"/>
  <colors>
    <mruColors>
      <color rgb="FFFFF2CC"/>
      <color rgb="FFFCE4D6"/>
      <color rgb="FFF4B084"/>
      <color rgb="FFF8CBAD"/>
      <color rgb="FFCDCDFF"/>
      <color rgb="FFAEA0FF"/>
      <color rgb="FFFD6B21"/>
      <color rgb="FFEA5F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196143</xdr:colOff>
      <xdr:row>0</xdr:row>
      <xdr:rowOff>172156</xdr:rowOff>
    </xdr:from>
    <xdr:ext cx="1822054" cy="429590"/>
    <xdr:pic>
      <xdr:nvPicPr>
        <xdr:cNvPr id="2" name="Picture 1">
          <a:extLst>
            <a:ext uri="{FF2B5EF4-FFF2-40B4-BE49-F238E27FC236}">
              <a16:creationId xmlns:a16="http://schemas.microsoft.com/office/drawing/2014/main" id="{6E8AE03C-5C83-0C4C-9DBB-FF2BDA8F5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43" y="172156"/>
          <a:ext cx="1822054" cy="4295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192983</xdr:colOff>
      <xdr:row>0</xdr:row>
      <xdr:rowOff>162425</xdr:rowOff>
    </xdr:from>
    <xdr:ext cx="1822054" cy="42959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83" y="162425"/>
          <a:ext cx="1822054" cy="42959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33616</xdr:colOff>
      <xdr:row>0</xdr:row>
      <xdr:rowOff>168087</xdr:rowOff>
    </xdr:from>
    <xdr:ext cx="1822054" cy="429590"/>
    <xdr:pic>
      <xdr:nvPicPr>
        <xdr:cNvPr id="3" name="Picture 2">
          <a:extLst>
            <a:ext uri="{FF2B5EF4-FFF2-40B4-BE49-F238E27FC236}">
              <a16:creationId xmlns:a16="http://schemas.microsoft.com/office/drawing/2014/main" id="{0EDA324C-B81C-5147-BF08-2C7CD04CC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675" y="168087"/>
          <a:ext cx="1822054" cy="42959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192983</xdr:colOff>
      <xdr:row>0</xdr:row>
      <xdr:rowOff>162425</xdr:rowOff>
    </xdr:from>
    <xdr:ext cx="1822054" cy="429590"/>
    <xdr:pic>
      <xdr:nvPicPr>
        <xdr:cNvPr id="2" name="Picture 1">
          <a:extLst>
            <a:ext uri="{FF2B5EF4-FFF2-40B4-BE49-F238E27FC236}">
              <a16:creationId xmlns:a16="http://schemas.microsoft.com/office/drawing/2014/main" id="{6A861B97-52DF-2E47-AE63-21B13E7D6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83" y="162425"/>
          <a:ext cx="1822054" cy="42959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254000</xdr:rowOff>
    </xdr:from>
    <xdr:ext cx="2086832" cy="352588"/>
    <xdr:pic>
      <xdr:nvPicPr>
        <xdr:cNvPr id="2" name="Picture 1" descr="WorkFusion.ep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19" t="31832"/>
        <a:stretch/>
      </xdr:blipFill>
      <xdr:spPr>
        <a:xfrm>
          <a:off x="203200" y="254000"/>
          <a:ext cx="2086832" cy="3525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ibm.com/gen1/infrastructure/provision/vs" TargetMode="External"/><Relationship Id="rId2" Type="http://schemas.openxmlformats.org/officeDocument/2006/relationships/hyperlink" Target="https://cloud.google.com/products/calculator/" TargetMode="External"/><Relationship Id="rId1" Type="http://schemas.openxmlformats.org/officeDocument/2006/relationships/hyperlink" Target="https://calculator.s3.amazonaws.com/index.html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s://azure.microsoft.com/en-us/pricing/calculator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9707-2FF3-9441-B1C6-6C02CB32CFD5}">
  <sheetPr>
    <tabColor rgb="FFFD6B21"/>
  </sheetPr>
  <dimension ref="A1:G61"/>
  <sheetViews>
    <sheetView showGridLines="0" tabSelected="1" zoomScaleNormal="100" workbookViewId="0">
      <pane ySplit="1" topLeftCell="A41" activePane="bottomLeft" state="frozen"/>
      <selection pane="bottomLeft" activeCell="A43" sqref="A43:XFD43"/>
    </sheetView>
  </sheetViews>
  <sheetFormatPr defaultColWidth="10.85546875" defaultRowHeight="15" outlineLevelCol="1" x14ac:dyDescent="0.25"/>
  <cols>
    <col min="1" max="1" width="2.7109375" style="5" customWidth="1"/>
    <col min="2" max="2" width="43.85546875" style="5" customWidth="1"/>
    <col min="3" max="3" width="50.85546875" style="5" customWidth="1" outlineLevel="1"/>
    <col min="4" max="6" width="13.85546875" style="6" customWidth="1"/>
    <col min="7" max="16384" width="10.85546875" style="5"/>
  </cols>
  <sheetData>
    <row r="1" spans="1:7" ht="60" customHeight="1" x14ac:dyDescent="0.25">
      <c r="B1" s="8" t="s">
        <v>0</v>
      </c>
      <c r="C1" s="8"/>
      <c r="D1" s="8"/>
      <c r="E1" s="8"/>
      <c r="F1" s="8"/>
    </row>
    <row r="2" spans="1:7" ht="15" customHeight="1" x14ac:dyDescent="0.25">
      <c r="A2" s="82"/>
      <c r="B2" s="82"/>
      <c r="C2" s="82"/>
      <c r="D2" s="83"/>
      <c r="E2" s="83"/>
      <c r="F2" s="83"/>
    </row>
    <row r="3" spans="1:7" s="7" customFormat="1" ht="39" customHeight="1" x14ac:dyDescent="0.25">
      <c r="A3" s="148"/>
      <c r="B3" s="187" t="s">
        <v>1</v>
      </c>
      <c r="C3" s="187"/>
      <c r="D3" s="179"/>
      <c r="E3" s="179"/>
      <c r="F3" s="179"/>
    </row>
    <row r="4" spans="1:7" s="7" customFormat="1" ht="32.1" customHeight="1" x14ac:dyDescent="0.25">
      <c r="A4" s="148"/>
      <c r="B4" s="103" t="s">
        <v>2</v>
      </c>
      <c r="C4" s="103" t="s">
        <v>3</v>
      </c>
      <c r="D4" s="122" t="s">
        <v>4</v>
      </c>
      <c r="E4" s="122" t="s">
        <v>5</v>
      </c>
      <c r="F4" s="186" t="s">
        <v>6</v>
      </c>
    </row>
    <row r="5" spans="1:7" s="7" customFormat="1" ht="32.1" customHeight="1" x14ac:dyDescent="0.25">
      <c r="A5" s="148"/>
      <c r="B5" s="189" t="s">
        <v>7</v>
      </c>
      <c r="C5" s="189"/>
      <c r="D5" s="156"/>
      <c r="E5" s="146"/>
      <c r="F5" s="186"/>
    </row>
    <row r="6" spans="1:7" s="1" customFormat="1" ht="9.9499999999999993" customHeight="1" x14ac:dyDescent="0.25">
      <c r="A6" s="148"/>
      <c r="B6" s="140"/>
      <c r="C6" s="140"/>
      <c r="D6" s="140"/>
      <c r="E6" s="140"/>
      <c r="F6" s="157"/>
      <c r="G6" s="7"/>
    </row>
    <row r="7" spans="1:7" s="7" customFormat="1" ht="80.099999999999994" customHeight="1" x14ac:dyDescent="0.25">
      <c r="A7" s="148"/>
      <c r="B7" s="141" t="s">
        <v>8</v>
      </c>
      <c r="C7" s="142" t="s">
        <v>9</v>
      </c>
      <c r="D7" s="162">
        <v>0</v>
      </c>
      <c r="E7" s="162">
        <v>10000</v>
      </c>
      <c r="F7" s="163">
        <f>SUM(D7:E7)</f>
        <v>10000</v>
      </c>
    </row>
    <row r="8" spans="1:7" s="7" customFormat="1" ht="39.950000000000003" customHeight="1" x14ac:dyDescent="0.25">
      <c r="A8" s="148"/>
      <c r="B8" s="141" t="s">
        <v>10</v>
      </c>
      <c r="C8" s="142" t="s">
        <v>11</v>
      </c>
      <c r="D8" s="143">
        <v>2</v>
      </c>
      <c r="E8" s="143">
        <v>2</v>
      </c>
      <c r="F8" s="158">
        <f>SUMPRODUCT(D8:E8,D$7:E$7)/F$7</f>
        <v>2</v>
      </c>
    </row>
    <row r="9" spans="1:7" s="7" customFormat="1" ht="39.950000000000003" customHeight="1" x14ac:dyDescent="0.25">
      <c r="A9" s="148"/>
      <c r="B9" s="141" t="s">
        <v>12</v>
      </c>
      <c r="C9" s="142" t="s">
        <v>13</v>
      </c>
      <c r="D9" s="143">
        <v>5</v>
      </c>
      <c r="E9" s="143">
        <v>5</v>
      </c>
      <c r="F9" s="158">
        <f>SUMPRODUCT(D9:E9,D$7:E$7)/F$7</f>
        <v>5</v>
      </c>
    </row>
    <row r="10" spans="1:7" s="7" customFormat="1" ht="60" customHeight="1" x14ac:dyDescent="0.25">
      <c r="A10" s="148"/>
      <c r="B10" s="141" t="s">
        <v>14</v>
      </c>
      <c r="C10" s="142" t="s">
        <v>15</v>
      </c>
      <c r="D10" s="143">
        <v>6</v>
      </c>
      <c r="E10" s="143">
        <v>24</v>
      </c>
      <c r="F10" s="158">
        <f>SUMPRODUCT(D10:E10,D$7:E$7)/F$7</f>
        <v>24</v>
      </c>
    </row>
    <row r="11" spans="1:7" s="7" customFormat="1" ht="39.950000000000003" customHeight="1" x14ac:dyDescent="0.25">
      <c r="A11" s="148"/>
      <c r="B11" s="142" t="s">
        <v>16</v>
      </c>
      <c r="C11" s="142" t="s">
        <v>17</v>
      </c>
      <c r="D11" s="143">
        <f>60*2.5</f>
        <v>150</v>
      </c>
      <c r="E11" s="143">
        <v>100</v>
      </c>
      <c r="F11" s="158">
        <f>SUMPRODUCT(D11:E11,D$7:E$7)/F$7</f>
        <v>100</v>
      </c>
    </row>
    <row r="12" spans="1:7" s="7" customFormat="1" ht="30.95" customHeight="1" x14ac:dyDescent="0.25">
      <c r="A12" s="148"/>
      <c r="B12" s="189" t="s">
        <v>18</v>
      </c>
      <c r="C12" s="189"/>
      <c r="D12" s="146"/>
      <c r="E12" s="146"/>
      <c r="F12" s="159"/>
    </row>
    <row r="13" spans="1:7" s="1" customFormat="1" ht="9.9499999999999993" customHeight="1" x14ac:dyDescent="0.25">
      <c r="A13" s="148"/>
      <c r="B13" s="140"/>
      <c r="C13" s="140"/>
      <c r="D13" s="140"/>
      <c r="E13" s="140"/>
      <c r="F13" s="157"/>
      <c r="G13" s="7"/>
    </row>
    <row r="14" spans="1:7" s="7" customFormat="1" ht="39.950000000000003" customHeight="1" x14ac:dyDescent="0.25">
      <c r="A14" s="148"/>
      <c r="B14" s="141" t="s">
        <v>19</v>
      </c>
      <c r="C14" s="142" t="s">
        <v>20</v>
      </c>
      <c r="D14" s="143">
        <v>0</v>
      </c>
      <c r="E14" s="143">
        <v>0</v>
      </c>
      <c r="F14" s="158">
        <f>SUMPRODUCT(D14:E14,D$7:E$7)/F$7</f>
        <v>0</v>
      </c>
    </row>
    <row r="15" spans="1:7" s="7" customFormat="1" ht="39.950000000000003" customHeight="1" x14ac:dyDescent="0.25">
      <c r="A15" s="148"/>
      <c r="B15" s="141" t="s">
        <v>21</v>
      </c>
      <c r="C15" s="142" t="s">
        <v>22</v>
      </c>
      <c r="D15" s="143">
        <f>D$8*D$9*$C$45</f>
        <v>50</v>
      </c>
      <c r="E15" s="143">
        <f>E$8*E$9*$C$45</f>
        <v>50</v>
      </c>
      <c r="F15" s="158">
        <f>IF(F$14=100, 0, SUMPRODUCT(D15:E15,D$7:E$7,(100-D$14:E$14)/100) / (F$7*(100-F$14)/100))</f>
        <v>50</v>
      </c>
    </row>
    <row r="16" spans="1:7" s="7" customFormat="1" ht="32.1" customHeight="1" x14ac:dyDescent="0.25">
      <c r="A16" s="148"/>
      <c r="B16" s="141" t="s">
        <v>23</v>
      </c>
      <c r="C16" s="142" t="s">
        <v>24</v>
      </c>
      <c r="D16" s="143">
        <f>D$11*0.3</f>
        <v>45</v>
      </c>
      <c r="E16" s="143">
        <f>E$11*0.3</f>
        <v>30</v>
      </c>
      <c r="F16" s="158">
        <f>SUMPRODUCT(D16:E16,D$7:E$7)/F$7</f>
        <v>30</v>
      </c>
    </row>
    <row r="17" spans="1:7" s="7" customFormat="1" ht="32.1" customHeight="1" x14ac:dyDescent="0.25">
      <c r="A17" s="148"/>
      <c r="B17" s="141" t="s">
        <v>25</v>
      </c>
      <c r="C17" s="142" t="s">
        <v>26</v>
      </c>
      <c r="D17" s="143">
        <f>D$8*$C$44</f>
        <v>30</v>
      </c>
      <c r="E17" s="143">
        <f>E$8*$C$44</f>
        <v>30</v>
      </c>
      <c r="F17" s="158">
        <f>SUMPRODUCT(D17:E17,D$7:E$7)/F$7</f>
        <v>30</v>
      </c>
    </row>
    <row r="18" spans="1:7" s="7" customFormat="1" ht="33" customHeight="1" x14ac:dyDescent="0.25">
      <c r="A18" s="148"/>
      <c r="B18" s="141" t="s">
        <v>27</v>
      </c>
      <c r="C18" s="142" t="s">
        <v>28</v>
      </c>
      <c r="D18" s="143">
        <f>D$8*D$9*$C$46</f>
        <v>20</v>
      </c>
      <c r="E18" s="143">
        <f>E$8*E$9*$C$46</f>
        <v>20</v>
      </c>
      <c r="F18" s="158">
        <f>SUMPRODUCT(D18:E18,D$7:E$7)/F$7</f>
        <v>20</v>
      </c>
    </row>
    <row r="19" spans="1:7" s="7" customFormat="1" ht="33" customHeight="1" x14ac:dyDescent="0.25">
      <c r="A19" s="148"/>
      <c r="B19" s="141" t="s">
        <v>29</v>
      </c>
      <c r="C19" s="142" t="s">
        <v>30</v>
      </c>
      <c r="D19" s="143">
        <v>20</v>
      </c>
      <c r="E19" s="143">
        <v>20</v>
      </c>
      <c r="F19" s="158">
        <f>SUMPRODUCT(D19:E19,D$7:E$7)/F$7</f>
        <v>20</v>
      </c>
    </row>
    <row r="20" spans="1:7" s="7" customFormat="1" ht="60" customHeight="1" x14ac:dyDescent="0.25">
      <c r="A20" s="148"/>
      <c r="B20" s="141" t="s">
        <v>31</v>
      </c>
      <c r="C20" s="142" t="s">
        <v>32</v>
      </c>
      <c r="D20" s="143">
        <v>1</v>
      </c>
      <c r="E20" s="143">
        <v>1</v>
      </c>
      <c r="F20" s="158">
        <f>SUMPRODUCT(D20:E20,D$7:E$7,D$19:E$19) / (F$7*F$19)</f>
        <v>1</v>
      </c>
    </row>
    <row r="21" spans="1:7" s="7" customFormat="1" ht="15" customHeight="1" x14ac:dyDescent="0.25">
      <c r="A21" s="167"/>
      <c r="B21" s="165"/>
      <c r="C21" s="165"/>
      <c r="D21" s="166"/>
      <c r="E21" s="166"/>
      <c r="F21" s="166"/>
    </row>
    <row r="22" spans="1:7" s="7" customFormat="1" ht="39" customHeight="1" x14ac:dyDescent="0.25">
      <c r="A22" s="82"/>
      <c r="B22" s="168" t="s">
        <v>33</v>
      </c>
      <c r="C22" s="168"/>
      <c r="D22" s="168"/>
      <c r="E22" s="168"/>
      <c r="F22" s="124"/>
    </row>
    <row r="23" spans="1:7" s="7" customFormat="1" ht="39" customHeight="1" x14ac:dyDescent="0.25">
      <c r="A23" s="82"/>
      <c r="B23" s="103" t="s">
        <v>2</v>
      </c>
      <c r="C23" s="103" t="s">
        <v>3</v>
      </c>
      <c r="D23" s="122"/>
      <c r="E23" s="122"/>
      <c r="F23" s="186" t="s">
        <v>34</v>
      </c>
    </row>
    <row r="24" spans="1:7" s="7" customFormat="1" ht="30.95" customHeight="1" x14ac:dyDescent="0.25">
      <c r="A24" s="82"/>
      <c r="B24" s="189" t="s">
        <v>35</v>
      </c>
      <c r="C24" s="189"/>
      <c r="D24" s="146"/>
      <c r="E24" s="180"/>
      <c r="F24" s="186"/>
    </row>
    <row r="25" spans="1:7" s="1" customFormat="1" ht="9.9499999999999993" customHeight="1" x14ac:dyDescent="0.25">
      <c r="A25" s="9"/>
      <c r="B25" s="144"/>
      <c r="C25" s="144"/>
      <c r="D25" s="144"/>
      <c r="E25" s="144"/>
      <c r="F25" s="160"/>
      <c r="G25" s="7"/>
    </row>
    <row r="26" spans="1:7" s="7" customFormat="1" ht="41.1" customHeight="1" x14ac:dyDescent="0.25">
      <c r="A26" s="141"/>
      <c r="B26" s="141" t="s">
        <v>36</v>
      </c>
      <c r="C26" s="142" t="s">
        <v>37</v>
      </c>
      <c r="D26" s="143">
        <f t="shared" ref="D26:E26" si="0">D$7*D$11/(60*60*D$10)</f>
        <v>0</v>
      </c>
      <c r="E26" s="143">
        <f t="shared" si="0"/>
        <v>11.574074074074074</v>
      </c>
      <c r="F26" s="158">
        <f>SUM(D26:E26)</f>
        <v>11.574074074074074</v>
      </c>
    </row>
    <row r="27" spans="1:7" s="7" customFormat="1" ht="30.95" customHeight="1" x14ac:dyDescent="0.25">
      <c r="A27" s="82"/>
      <c r="B27" s="189" t="s">
        <v>38</v>
      </c>
      <c r="C27" s="189"/>
      <c r="D27" s="180"/>
      <c r="E27" s="180"/>
      <c r="F27" s="161"/>
    </row>
    <row r="28" spans="1:7" s="1" customFormat="1" ht="9.9499999999999993" customHeight="1" x14ac:dyDescent="0.25">
      <c r="A28" s="9"/>
      <c r="B28" s="144"/>
      <c r="C28" s="144"/>
      <c r="D28" s="144"/>
      <c r="E28" s="144"/>
      <c r="F28" s="160"/>
    </row>
    <row r="29" spans="1:7" s="7" customFormat="1" ht="41.1" customHeight="1" x14ac:dyDescent="0.25">
      <c r="A29" s="141"/>
      <c r="B29" s="141" t="s">
        <v>39</v>
      </c>
      <c r="C29" s="142" t="s">
        <v>37</v>
      </c>
      <c r="D29" s="143">
        <f>D$7*D15*(1 - D$14/100)/(60*60*D$10)</f>
        <v>0</v>
      </c>
      <c r="E29" s="143">
        <f>E$7*E15*(1 - E$14/100)/(60*60*E$10)</f>
        <v>5.7870370370370372</v>
      </c>
      <c r="F29" s="158">
        <f>SUM(D29:E29)</f>
        <v>5.7870370370370372</v>
      </c>
    </row>
    <row r="30" spans="1:7" s="7" customFormat="1" ht="59.1" customHeight="1" x14ac:dyDescent="0.25">
      <c r="A30" s="141"/>
      <c r="B30" s="141" t="s">
        <v>40</v>
      </c>
      <c r="C30" s="142" t="s">
        <v>41</v>
      </c>
      <c r="D30" s="143">
        <f t="shared" ref="D30:E32" si="1">D$7*D16/(60*60*D$10)</f>
        <v>0</v>
      </c>
      <c r="E30" s="143">
        <f t="shared" si="1"/>
        <v>3.4722222222222223</v>
      </c>
      <c r="F30" s="158">
        <f t="shared" ref="F30:F34" si="2">SUM(D30:E30)</f>
        <v>3.4722222222222223</v>
      </c>
    </row>
    <row r="31" spans="1:7" s="7" customFormat="1" ht="39.950000000000003" customHeight="1" x14ac:dyDescent="0.25">
      <c r="A31" s="141"/>
      <c r="B31" s="141" t="s">
        <v>42</v>
      </c>
      <c r="C31" s="142" t="s">
        <v>43</v>
      </c>
      <c r="D31" s="143">
        <f t="shared" si="1"/>
        <v>0</v>
      </c>
      <c r="E31" s="143">
        <f t="shared" si="1"/>
        <v>3.4722222222222223</v>
      </c>
      <c r="F31" s="158">
        <f t="shared" si="2"/>
        <v>3.4722222222222223</v>
      </c>
    </row>
    <row r="32" spans="1:7" s="7" customFormat="1" ht="39.950000000000003" customHeight="1" x14ac:dyDescent="0.25">
      <c r="A32" s="141"/>
      <c r="B32" s="141" t="s">
        <v>44</v>
      </c>
      <c r="C32" s="142" t="s">
        <v>45</v>
      </c>
      <c r="D32" s="143">
        <f t="shared" si="1"/>
        <v>0</v>
      </c>
      <c r="E32" s="143">
        <f t="shared" si="1"/>
        <v>2.3148148148148149</v>
      </c>
      <c r="F32" s="158">
        <f t="shared" si="2"/>
        <v>2.3148148148148149</v>
      </c>
    </row>
    <row r="33" spans="1:7" s="7" customFormat="1" ht="39.950000000000003" customHeight="1" x14ac:dyDescent="0.25">
      <c r="A33" s="141"/>
      <c r="B33" s="141" t="s">
        <v>46</v>
      </c>
      <c r="C33" s="142" t="s">
        <v>47</v>
      </c>
      <c r="D33" s="143">
        <f>D$7*D$19*D$20/(60*60*D$10)</f>
        <v>0</v>
      </c>
      <c r="E33" s="143">
        <f>E$7*E$19*E$20/(60*60*E$10)</f>
        <v>2.3148148148148149</v>
      </c>
      <c r="F33" s="158">
        <f t="shared" si="2"/>
        <v>2.3148148148148149</v>
      </c>
    </row>
    <row r="34" spans="1:7" s="7" customFormat="1" ht="39.950000000000003" customHeight="1" x14ac:dyDescent="0.25">
      <c r="A34" s="141"/>
      <c r="B34" s="149" t="s">
        <v>48</v>
      </c>
      <c r="C34" s="150"/>
      <c r="D34" s="151">
        <f>D$7*D19/(60*60*D$10)</f>
        <v>0</v>
      </c>
      <c r="E34" s="151">
        <f>E$7*E19/(60*60*E$10)</f>
        <v>2.3148148148148149</v>
      </c>
      <c r="F34" s="158">
        <f t="shared" si="2"/>
        <v>2.3148148148148149</v>
      </c>
    </row>
    <row r="35" spans="1:7" s="7" customFormat="1" ht="32.1" customHeight="1" x14ac:dyDescent="0.25">
      <c r="A35" s="9"/>
      <c r="B35" s="189" t="s">
        <v>49</v>
      </c>
      <c r="C35" s="189"/>
      <c r="D35" s="180"/>
      <c r="E35" s="146"/>
      <c r="F35" s="161"/>
    </row>
    <row r="36" spans="1:7" s="1" customFormat="1" ht="9.9499999999999993" customHeight="1" x14ac:dyDescent="0.25">
      <c r="A36" s="9"/>
      <c r="B36" s="140"/>
      <c r="C36" s="140"/>
      <c r="D36" s="140"/>
      <c r="E36" s="140"/>
      <c r="F36" s="157"/>
      <c r="G36" s="7"/>
    </row>
    <row r="37" spans="1:7" s="7" customFormat="1" ht="99.95" customHeight="1" x14ac:dyDescent="0.25">
      <c r="A37" s="9"/>
      <c r="B37" s="141" t="s">
        <v>50</v>
      </c>
      <c r="C37" s="142" t="s">
        <v>51</v>
      </c>
      <c r="D37" s="177">
        <f>SUM(D$29/$C$55, D$34/$C$52, D$39/$C$53, D$30/$C$54, 0)</f>
        <v>0</v>
      </c>
      <c r="E37" s="177">
        <f>SUM(E$29/$C$55, E$34/$C$52, E$39/$C$53, E$30/$C$54, 0)</f>
        <v>8.1349206349206366E-2</v>
      </c>
      <c r="F37" s="178">
        <f>SUM(D37:E37)</f>
        <v>8.1349206349206366E-2</v>
      </c>
    </row>
    <row r="38" spans="1:7" s="7" customFormat="1" ht="99.95" customHeight="1" x14ac:dyDescent="0.25">
      <c r="A38" s="9"/>
      <c r="B38" s="141" t="s">
        <v>52</v>
      </c>
      <c r="C38" s="142" t="s">
        <v>53</v>
      </c>
      <c r="D38" s="177">
        <f>D$30/$C$51</f>
        <v>0</v>
      </c>
      <c r="E38" s="177">
        <f>E$30/$C$51</f>
        <v>0.69444444444444442</v>
      </c>
      <c r="F38" s="178">
        <f>SUM(D38:E38)</f>
        <v>0.69444444444444442</v>
      </c>
    </row>
    <row r="39" spans="1:7" s="7" customFormat="1" ht="99.95" customHeight="1" x14ac:dyDescent="0.25">
      <c r="A39" s="9"/>
      <c r="B39" s="141" t="s">
        <v>54</v>
      </c>
      <c r="C39" s="142" t="s">
        <v>55</v>
      </c>
      <c r="D39" s="177">
        <f>D$32/$C$47 + D$33/$C$48 + D$31/$C$49</f>
        <v>0</v>
      </c>
      <c r="E39" s="177">
        <f>E$32/$C$47 + E$33/$C$48 + E$31/$C$49</f>
        <v>0.90939153439153442</v>
      </c>
      <c r="F39" s="178">
        <f>SUM(D39:E39)</f>
        <v>0.90939153439153442</v>
      </c>
    </row>
    <row r="40" spans="1:7" s="7" customFormat="1" ht="15" customHeight="1" x14ac:dyDescent="0.25">
      <c r="A40" s="167"/>
      <c r="B40" s="165"/>
      <c r="C40" s="165"/>
      <c r="D40" s="166"/>
      <c r="E40" s="166"/>
      <c r="F40" s="166"/>
    </row>
    <row r="41" spans="1:7" s="7" customFormat="1" ht="32.1" customHeight="1" x14ac:dyDescent="0.25">
      <c r="A41" s="82"/>
      <c r="B41" s="84"/>
      <c r="C41" s="84"/>
      <c r="D41" s="83"/>
      <c r="E41" s="83"/>
      <c r="F41" s="83"/>
    </row>
    <row r="42" spans="1:7" s="7" customFormat="1" ht="39.950000000000003" customHeight="1" x14ac:dyDescent="0.25">
      <c r="A42" s="145"/>
      <c r="B42" s="188" t="s">
        <v>56</v>
      </c>
      <c r="C42" s="188"/>
      <c r="D42" s="188"/>
    </row>
    <row r="43" spans="1:7" s="7" customFormat="1" ht="32.1" customHeight="1" x14ac:dyDescent="0.25">
      <c r="A43" s="145"/>
      <c r="B43" s="103" t="s">
        <v>2</v>
      </c>
      <c r="C43" s="96" t="s">
        <v>57</v>
      </c>
    </row>
    <row r="44" spans="1:7" s="7" customFormat="1" ht="32.1" customHeight="1" x14ac:dyDescent="0.25">
      <c r="A44" s="145"/>
      <c r="B44" s="142" t="s">
        <v>58</v>
      </c>
      <c r="C44" s="152">
        <v>15</v>
      </c>
    </row>
    <row r="45" spans="1:7" s="7" customFormat="1" ht="32.1" customHeight="1" x14ac:dyDescent="0.25">
      <c r="A45" s="145"/>
      <c r="B45" s="142" t="s">
        <v>59</v>
      </c>
      <c r="C45" s="152">
        <v>5</v>
      </c>
    </row>
    <row r="46" spans="1:7" s="7" customFormat="1" ht="32.1" customHeight="1" x14ac:dyDescent="0.25">
      <c r="A46" s="145"/>
      <c r="B46" s="142" t="s">
        <v>60</v>
      </c>
      <c r="C46" s="152">
        <v>2</v>
      </c>
    </row>
    <row r="47" spans="1:7" s="7" customFormat="1" ht="32.1" customHeight="1" x14ac:dyDescent="0.25">
      <c r="A47" s="145"/>
      <c r="B47" s="142" t="s">
        <v>61</v>
      </c>
      <c r="C47" s="152">
        <v>7</v>
      </c>
    </row>
    <row r="48" spans="1:7" s="7" customFormat="1" ht="32.1" customHeight="1" x14ac:dyDescent="0.25">
      <c r="A48" s="145"/>
      <c r="B48" s="142" t="s">
        <v>62</v>
      </c>
      <c r="C48" s="152">
        <v>28</v>
      </c>
    </row>
    <row r="49" spans="1:6" s="7" customFormat="1" ht="32.1" customHeight="1" x14ac:dyDescent="0.25">
      <c r="A49" s="145"/>
      <c r="B49" s="142" t="s">
        <v>63</v>
      </c>
      <c r="C49" s="152">
        <v>7</v>
      </c>
    </row>
    <row r="50" spans="1:6" s="7" customFormat="1" ht="32.1" customHeight="1" x14ac:dyDescent="0.25">
      <c r="A50" s="145"/>
      <c r="B50" s="142" t="s">
        <v>64</v>
      </c>
      <c r="C50" s="152">
        <v>2</v>
      </c>
    </row>
    <row r="51" spans="1:6" s="7" customFormat="1" ht="32.1" customHeight="1" x14ac:dyDescent="0.25">
      <c r="A51" s="145"/>
      <c r="B51" s="142" t="s">
        <v>65</v>
      </c>
      <c r="C51" s="152">
        <v>5</v>
      </c>
    </row>
    <row r="52" spans="1:6" s="7" customFormat="1" ht="32.1" customHeight="1" x14ac:dyDescent="0.25">
      <c r="A52" s="145"/>
      <c r="B52" s="142" t="s">
        <v>66</v>
      </c>
      <c r="C52" s="153">
        <v>100</v>
      </c>
    </row>
    <row r="53" spans="1:6" s="7" customFormat="1" ht="32.1" customHeight="1" x14ac:dyDescent="0.25">
      <c r="A53" s="145"/>
      <c r="B53" s="142" t="s">
        <v>67</v>
      </c>
      <c r="C53" s="153">
        <v>20</v>
      </c>
    </row>
    <row r="54" spans="1:6" s="7" customFormat="1" ht="32.1" customHeight="1" x14ac:dyDescent="0.25">
      <c r="A54" s="145"/>
      <c r="B54" s="142" t="s">
        <v>68</v>
      </c>
      <c r="C54" s="152">
        <v>500</v>
      </c>
    </row>
    <row r="55" spans="1:6" s="7" customFormat="1" ht="32.1" customHeight="1" x14ac:dyDescent="0.25">
      <c r="A55" s="145"/>
      <c r="B55" s="142" t="s">
        <v>69</v>
      </c>
      <c r="C55" s="152">
        <v>1000</v>
      </c>
    </row>
    <row r="56" spans="1:6" s="7" customFormat="1" ht="15" customHeight="1" x14ac:dyDescent="0.25">
      <c r="A56" s="9"/>
      <c r="B56" s="9"/>
      <c r="C56" s="9"/>
      <c r="D56" s="147"/>
      <c r="E56" s="147"/>
      <c r="F56" s="147"/>
    </row>
    <row r="57" spans="1:6" ht="15" customHeight="1" x14ac:dyDescent="0.25">
      <c r="A57" s="9"/>
      <c r="B57" s="9"/>
      <c r="C57" s="9"/>
      <c r="D57" s="147"/>
      <c r="E57" s="147"/>
      <c r="F57" s="147"/>
    </row>
    <row r="58" spans="1:6" x14ac:dyDescent="0.25">
      <c r="A58" s="9"/>
      <c r="B58" s="9"/>
      <c r="C58" s="9"/>
      <c r="D58" s="147"/>
      <c r="E58" s="147"/>
      <c r="F58" s="147"/>
    </row>
    <row r="59" spans="1:6" x14ac:dyDescent="0.25">
      <c r="A59" s="9"/>
      <c r="B59" s="9"/>
      <c r="C59" s="9"/>
      <c r="D59" s="147"/>
      <c r="E59" s="147"/>
      <c r="F59" s="147"/>
    </row>
    <row r="60" spans="1:6" x14ac:dyDescent="0.25">
      <c r="A60"/>
      <c r="B60"/>
      <c r="C60"/>
      <c r="D60" s="89"/>
      <c r="E60" s="89"/>
      <c r="F60" s="89"/>
    </row>
    <row r="61" spans="1:6" x14ac:dyDescent="0.25">
      <c r="A61"/>
      <c r="B61"/>
      <c r="C61"/>
      <c r="D61" s="89"/>
      <c r="E61" s="89"/>
      <c r="F61" s="89"/>
    </row>
  </sheetData>
  <mergeCells count="9">
    <mergeCell ref="F4:F5"/>
    <mergeCell ref="F23:F24"/>
    <mergeCell ref="B3:C3"/>
    <mergeCell ref="B42:D42"/>
    <mergeCell ref="B5:C5"/>
    <mergeCell ref="B12:C12"/>
    <mergeCell ref="B24:C24"/>
    <mergeCell ref="B27:C27"/>
    <mergeCell ref="B35:C35"/>
  </mergeCells>
  <dataValidations count="1">
    <dataValidation type="decimal" allowBlank="1" showInputMessage="1" showErrorMessage="1" sqref="D10:E10" xr:uid="{B7B9CF15-0555-704E-8FAD-0DF1B2C53683}">
      <formula1>0</formula1>
      <formula2>24</formula2>
    </dataValidation>
  </dataValidations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D6B21"/>
  </sheetPr>
  <dimension ref="A1:AZ94"/>
  <sheetViews>
    <sheetView showGridLines="0" zoomScaleNormal="100" workbookViewId="0">
      <pane ySplit="1" topLeftCell="A2" activePane="bottomLeft" state="frozen"/>
      <selection pane="bottomLeft" activeCell="C13" sqref="C13"/>
    </sheetView>
  </sheetViews>
  <sheetFormatPr defaultColWidth="8.85546875" defaultRowHeight="15" outlineLevelCol="1" x14ac:dyDescent="0.25"/>
  <cols>
    <col min="1" max="2" width="3" style="1" customWidth="1"/>
    <col min="3" max="3" width="24.85546875" style="1" customWidth="1"/>
    <col min="4" max="4" width="8.28515625" style="175" hidden="1" customWidth="1" outlineLevel="1"/>
    <col min="5" max="5" width="6.7109375" style="1" hidden="1" customWidth="1" outlineLevel="1"/>
    <col min="6" max="6" width="15.85546875" style="1" hidden="1" customWidth="1" outlineLevel="1"/>
    <col min="7" max="7" width="6.7109375" style="4" customWidth="1" collapsed="1"/>
    <col min="8" max="8" width="11.7109375" style="1" customWidth="1"/>
    <col min="9" max="9" width="5.85546875" style="1" customWidth="1"/>
    <col min="10" max="18" width="11.85546875" style="1" hidden="1" customWidth="1"/>
    <col min="19" max="19" width="15.7109375" style="1" hidden="1" customWidth="1" outlineLevel="1"/>
    <col min="20" max="20" width="16.85546875" style="1" hidden="1" customWidth="1" outlineLevel="1"/>
    <col min="21" max="21" width="13.28515625" style="1" hidden="1" customWidth="1" outlineLevel="1"/>
    <col min="22" max="22" width="5.85546875" style="1" hidden="1" customWidth="1" outlineLevel="1"/>
    <col min="23" max="23" width="14.7109375" style="1" hidden="1" customWidth="1" outlineLevel="1"/>
    <col min="24" max="24" width="14.42578125" style="1" hidden="1" customWidth="1" outlineLevel="1"/>
    <col min="25" max="25" width="7.140625" style="1" hidden="1" customWidth="1" outlineLevel="1"/>
    <col min="26" max="26" width="7.7109375" style="1" hidden="1" customWidth="1" outlineLevel="1"/>
    <col min="27" max="27" width="8.7109375" style="1" hidden="1" customWidth="1" outlineLevel="1"/>
    <col min="28" max="28" width="12.140625" style="1" hidden="1" customWidth="1" collapsed="1"/>
    <col min="29" max="35" width="12.140625" style="1" hidden="1" customWidth="1"/>
    <col min="36" max="36" width="8.28515625" style="1" hidden="1" customWidth="1" outlineLevel="1"/>
    <col min="37" max="37" width="6.7109375" style="1" hidden="1" customWidth="1" outlineLevel="1"/>
    <col min="38" max="38" width="15.85546875" style="1" hidden="1" customWidth="1" outlineLevel="1"/>
    <col min="39" max="39" width="6.7109375" style="1" customWidth="1" collapsed="1"/>
    <col min="40" max="40" width="11.7109375" style="1" customWidth="1"/>
    <col min="41" max="41" width="4.7109375" style="1" customWidth="1"/>
    <col min="42" max="42" width="14.28515625" style="1" customWidth="1"/>
    <col min="43" max="43" width="2.85546875" style="1" customWidth="1"/>
    <col min="44" max="44" width="5.85546875" style="1" customWidth="1"/>
    <col min="45" max="47" width="8.85546875" style="1"/>
    <col min="48" max="48" width="8.85546875" style="1" customWidth="1"/>
    <col min="49" max="16384" width="8.85546875" style="1"/>
  </cols>
  <sheetData>
    <row r="1" spans="1:52" ht="60" customHeight="1" x14ac:dyDescent="0.25">
      <c r="B1" s="8" t="s">
        <v>70</v>
      </c>
      <c r="C1" s="85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</row>
    <row r="2" spans="1:52" ht="11.1" customHeight="1" x14ac:dyDescent="0.25">
      <c r="B2" s="24"/>
      <c r="C2" s="24"/>
      <c r="D2" s="169"/>
      <c r="E2" s="25"/>
      <c r="F2" s="25"/>
      <c r="G2" s="26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0"/>
      <c r="AW2"/>
      <c r="AX2"/>
      <c r="AY2"/>
      <c r="AZ2"/>
    </row>
    <row r="3" spans="1:52" ht="32.1" customHeight="1" x14ac:dyDescent="0.25">
      <c r="B3" s="58"/>
      <c r="C3" s="58" t="s">
        <v>71</v>
      </c>
      <c r="D3" s="196" t="s">
        <v>72</v>
      </c>
      <c r="E3" s="196"/>
      <c r="F3" s="196"/>
      <c r="G3" s="196"/>
      <c r="H3" s="196"/>
      <c r="I3" s="196"/>
      <c r="J3" s="182"/>
      <c r="K3" s="182"/>
      <c r="L3" s="182"/>
      <c r="M3" s="182"/>
      <c r="N3" s="182"/>
      <c r="O3" s="182"/>
      <c r="P3" s="182"/>
      <c r="Q3" s="182"/>
      <c r="R3" s="182"/>
      <c r="S3" s="194" t="s">
        <v>73</v>
      </c>
      <c r="T3" s="194"/>
      <c r="U3" s="194"/>
      <c r="V3" s="194"/>
      <c r="W3" s="194"/>
      <c r="X3" s="194"/>
      <c r="Y3" s="194"/>
      <c r="Z3" s="194"/>
      <c r="AA3" s="194"/>
      <c r="AB3" s="182"/>
      <c r="AC3" s="182"/>
      <c r="AD3" s="182"/>
      <c r="AE3" s="182"/>
      <c r="AF3" s="182"/>
      <c r="AG3" s="182"/>
      <c r="AH3" s="182"/>
      <c r="AI3" s="182"/>
      <c r="AJ3" s="195" t="s">
        <v>74</v>
      </c>
      <c r="AK3" s="195"/>
      <c r="AL3" s="195"/>
      <c r="AM3" s="195"/>
      <c r="AN3" s="195"/>
      <c r="AO3" s="59"/>
      <c r="AP3" s="193" t="s">
        <v>75</v>
      </c>
      <c r="AQ3" s="184"/>
      <c r="AR3" s="20"/>
      <c r="AS3" s="103" t="s">
        <v>76</v>
      </c>
      <c r="AT3" s="103"/>
      <c r="AU3" s="103"/>
      <c r="AV3" s="103"/>
      <c r="AW3"/>
      <c r="AX3"/>
      <c r="AY3"/>
      <c r="AZ3"/>
    </row>
    <row r="4" spans="1:52" ht="32.1" customHeight="1" x14ac:dyDescent="0.25">
      <c r="B4" s="50"/>
      <c r="C4" s="51" t="s">
        <v>77</v>
      </c>
      <c r="D4" s="52" t="s">
        <v>78</v>
      </c>
      <c r="E4" s="52" t="s">
        <v>79</v>
      </c>
      <c r="F4" s="52" t="s">
        <v>80</v>
      </c>
      <c r="G4" s="52" t="s">
        <v>81</v>
      </c>
      <c r="H4" s="52" t="s">
        <v>82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80</v>
      </c>
      <c r="T4" s="52" t="s">
        <v>83</v>
      </c>
      <c r="U4" s="52" t="s">
        <v>84</v>
      </c>
      <c r="V4" s="53"/>
      <c r="W4" s="54" t="s">
        <v>78</v>
      </c>
      <c r="X4" s="51" t="s">
        <v>85</v>
      </c>
      <c r="Y4" s="52" t="s">
        <v>86</v>
      </c>
      <c r="Z4" s="55" t="s">
        <v>87</v>
      </c>
      <c r="AA4" s="55" t="s">
        <v>79</v>
      </c>
      <c r="AB4" s="52"/>
      <c r="AC4" s="52"/>
      <c r="AD4" s="52"/>
      <c r="AE4" s="52"/>
      <c r="AF4" s="52"/>
      <c r="AG4" s="52"/>
      <c r="AH4" s="52"/>
      <c r="AI4" s="52"/>
      <c r="AJ4" s="52" t="s">
        <v>78</v>
      </c>
      <c r="AK4" s="55" t="s">
        <v>79</v>
      </c>
      <c r="AL4" s="52" t="s">
        <v>80</v>
      </c>
      <c r="AM4" s="52" t="s">
        <v>81</v>
      </c>
      <c r="AN4" s="56" t="s">
        <v>88</v>
      </c>
      <c r="AO4" s="56"/>
      <c r="AP4" s="193"/>
      <c r="AQ4" s="184"/>
      <c r="AR4" s="20"/>
      <c r="AS4" s="105" t="s">
        <v>89</v>
      </c>
      <c r="AT4" s="125"/>
      <c r="AU4" s="192" t="s">
        <v>90</v>
      </c>
      <c r="AV4" s="192"/>
      <c r="AW4" s="125"/>
      <c r="AX4"/>
      <c r="AY4"/>
      <c r="AZ4"/>
    </row>
    <row r="5" spans="1:52" ht="24" customHeight="1" x14ac:dyDescent="0.25">
      <c r="B5" s="19"/>
      <c r="C5" s="21" t="s">
        <v>91</v>
      </c>
      <c r="D5" s="170" t="s">
        <v>92</v>
      </c>
      <c r="E5" s="128">
        <f>750+E$10</f>
        <v>1000</v>
      </c>
      <c r="F5" s="27">
        <f>(INDEX('Hardware costs'!$L$4:$P$21, MATCH(Infrastructure!D5, 'Hardware costs'!$B$4:$B$21,0), MATCH(Infrastructure!$AU$4, 'Hardware costs'!$L$3:$P$3,0))+INDEX('Hardware costs'!$L$21:$P$21, 1, MATCH(Infrastructure!$AU$4, 'Hardware costs'!$L$3:$P$3,0))*E5/1000)*12</f>
        <v>5108.0399999999991</v>
      </c>
      <c r="G5" s="15">
        <v>1</v>
      </c>
      <c r="H5" s="45">
        <f>G5*F5</f>
        <v>5108.0399999999991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41">
        <f>T5+U5</f>
        <v>2382.96</v>
      </c>
      <c r="T5" s="41">
        <f>VLOOKUP($W5,'Hardware costs'!$B$4:$W$21,MATCH($AU$4,'Hardware costs'!$B$3:$W$3, 0),FALSE) * 12</f>
        <v>2260.08</v>
      </c>
      <c r="U5" s="41">
        <f>AA5/1000*VLOOKUP("HDD-1TB",'Hardware costs'!$B$4:$W$21,MATCH($AU$4,'Hardware costs'!$B$3:$W$3, 0),FALSE) * 12</f>
        <v>122.88</v>
      </c>
      <c r="V5" s="41"/>
      <c r="W5" s="40" t="s">
        <v>93</v>
      </c>
      <c r="X5" s="43" t="str">
        <f>VLOOKUP($W5,'Hardware costs'!$B$4:$N$21,3,FALSE)</f>
        <v>RHEL</v>
      </c>
      <c r="Y5" s="35">
        <f>VLOOKUP($W5,'Hardware costs'!$B$4:$N$21,4,FALSE)</f>
        <v>4</v>
      </c>
      <c r="Z5" s="35">
        <f>VLOOKUP($W5,'Hardware costs'!$B$4:$N$21,5,FALSE)</f>
        <v>16</v>
      </c>
      <c r="AA5" s="17">
        <v>250</v>
      </c>
      <c r="AB5" s="27"/>
      <c r="AC5" s="27"/>
      <c r="AD5" s="27"/>
      <c r="AE5" s="27"/>
      <c r="AF5" s="27"/>
      <c r="AG5" s="27"/>
      <c r="AH5" s="27"/>
      <c r="AI5" s="27"/>
      <c r="AJ5" s="171" t="s">
        <v>92</v>
      </c>
      <c r="AK5" s="128">
        <f>750+AK$10</f>
        <v>1000</v>
      </c>
      <c r="AL5" s="27">
        <f>(INDEX('Hardware costs'!$L$4:$P$21, MATCH(Infrastructure!AJ5, 'Hardware costs'!$B$4:$B$21,0), MATCH(Infrastructure!$AU$4, 'Hardware costs'!$L$3:$P$3,0))+INDEX('Hardware costs'!$L$21:$P$21, 1, MATCH(Infrastructure!$AU$4, 'Hardware costs'!$L$3:$P$3,0))*AK5/1000)*12</f>
        <v>5108.0399999999991</v>
      </c>
      <c r="AM5" s="17">
        <f>ROUNDUP(Volume!$F$37,0)</f>
        <v>1</v>
      </c>
      <c r="AN5" s="27">
        <f>AM5*AL5</f>
        <v>5108.0399999999991</v>
      </c>
      <c r="AO5" s="45"/>
      <c r="AP5" s="72">
        <f t="shared" ref="AP5:AP9" si="0">H5+AN5</f>
        <v>10216.079999999998</v>
      </c>
      <c r="AQ5" s="72"/>
      <c r="AR5" s="20"/>
      <c r="AS5" s="154"/>
      <c r="AT5" s="154"/>
      <c r="AU5" s="154"/>
      <c r="AV5" s="154"/>
      <c r="AW5" s="154"/>
      <c r="AX5" s="154"/>
      <c r="AY5"/>
      <c r="AZ5"/>
    </row>
    <row r="6" spans="1:52" ht="24" customHeight="1" x14ac:dyDescent="0.25">
      <c r="B6" s="44"/>
      <c r="C6" s="21" t="s">
        <v>94</v>
      </c>
      <c r="D6" s="171" t="s">
        <v>92</v>
      </c>
      <c r="E6" s="37">
        <v>150</v>
      </c>
      <c r="F6" s="27">
        <f>(INDEX('Hardware costs'!$L$4:$P$21, MATCH(Infrastructure!D6, 'Hardware costs'!$B$4:$B$21,0), MATCH(Infrastructure!$AU$4, 'Hardware costs'!$L$3:$P$3,0))+INDEX('Hardware costs'!$L$21:$P$21, 1, MATCH(Infrastructure!$AU$4, 'Hardware costs'!$L$3:$P$3,0))*E6/1000)*12</f>
        <v>4690.2479999999996</v>
      </c>
      <c r="G6" s="15">
        <v>1</v>
      </c>
      <c r="H6" s="45">
        <f>G6*F6</f>
        <v>4690.2479999999996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7">
        <f>T6+U6</f>
        <v>4641.0959999999995</v>
      </c>
      <c r="T6" s="41">
        <f>VLOOKUP($W6,'Hardware costs'!$B$4:$W$21,MATCH($AU$4,'Hardware costs'!$B$3:$W$3, 0),FALSE) * 12</f>
        <v>4616.5199999999995</v>
      </c>
      <c r="U6" s="41">
        <f>AA6/1000*VLOOKUP("HDD-1TB",'Hardware costs'!$B$4:$W$21,MATCH($AU$4,'Hardware costs'!$B$3:$W$3, 0),FALSE) * 12</f>
        <v>24.576000000000001</v>
      </c>
      <c r="V6" s="47"/>
      <c r="W6" s="39" t="s">
        <v>92</v>
      </c>
      <c r="X6" s="48" t="str">
        <f>VLOOKUP($W6,'Hardware costs'!$B$4:$N$21,3,FALSE)</f>
        <v>RHEL</v>
      </c>
      <c r="Y6" s="36">
        <f>VLOOKUP($W6,'Hardware costs'!$B$4:$N$21,4,FALSE)</f>
        <v>8</v>
      </c>
      <c r="Z6" s="36">
        <f>VLOOKUP($W6,'Hardware costs'!$B$4:$N$21,5,FALSE)</f>
        <v>32</v>
      </c>
      <c r="AA6" s="15">
        <v>50</v>
      </c>
      <c r="AB6" s="45"/>
      <c r="AC6" s="45"/>
      <c r="AD6" s="45"/>
      <c r="AE6" s="45"/>
      <c r="AF6" s="45"/>
      <c r="AG6" s="45"/>
      <c r="AH6" s="45"/>
      <c r="AI6" s="45"/>
      <c r="AJ6" s="171" t="s">
        <v>92</v>
      </c>
      <c r="AK6" s="15">
        <v>150</v>
      </c>
      <c r="AL6" s="27">
        <f>(INDEX('Hardware costs'!$L$4:$P$21, MATCH(Infrastructure!AJ6, 'Hardware costs'!$B$4:$B$21,0), MATCH(Infrastructure!$AU$4, 'Hardware costs'!$L$3:$P$3,0))+INDEX('Hardware costs'!$L$21:$P$21, 1, MATCH(Infrastructure!$AU$4, 'Hardware costs'!$L$3:$P$3,0))*AK6/1000)*12</f>
        <v>4690.2479999999996</v>
      </c>
      <c r="AM6" s="17">
        <f>ROUNDUP(Volume!$F39,0)</f>
        <v>1</v>
      </c>
      <c r="AN6" s="27">
        <f>AM6*AL6</f>
        <v>4690.2479999999996</v>
      </c>
      <c r="AO6" s="45"/>
      <c r="AP6" s="72">
        <f>H6+AN6</f>
        <v>9380.4959999999992</v>
      </c>
      <c r="AQ6" s="72"/>
      <c r="AR6" s="49"/>
      <c r="AS6" s="104"/>
      <c r="AT6" s="154"/>
      <c r="AU6" s="154"/>
      <c r="AV6" s="181"/>
      <c r="AW6" s="124"/>
      <c r="AX6" s="124"/>
    </row>
    <row r="7" spans="1:52" ht="24" customHeight="1" x14ac:dyDescent="0.25">
      <c r="B7" s="19"/>
      <c r="C7" s="23" t="s">
        <v>95</v>
      </c>
      <c r="D7" s="171" t="s">
        <v>96</v>
      </c>
      <c r="E7" s="37">
        <v>150</v>
      </c>
      <c r="F7" s="27">
        <f>(INDEX('Hardware costs'!$L$4:$P$21, MATCH(Infrastructure!D7, 'Hardware costs'!$B$4:$B$21,0), MATCH(Infrastructure!$AU$4, 'Hardware costs'!$L$3:$P$3,0))+INDEX('Hardware costs'!$L$21:$P$21, 1, MATCH(Infrastructure!$AU$4, 'Hardware costs'!$L$3:$P$3,0))*E7/1000)*12</f>
        <v>1948.3679999999999</v>
      </c>
      <c r="G7" s="15">
        <v>1</v>
      </c>
      <c r="H7" s="45">
        <f t="shared" ref="H7" si="1">G7*F7</f>
        <v>1948.3679999999999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41">
        <f>T7+U7</f>
        <v>1923.7919999999999</v>
      </c>
      <c r="T7" s="41">
        <f>VLOOKUP($W7,'Hardware costs'!$B$4:$W$21,MATCH($AU$4,'Hardware costs'!$B$3:$W$3, 0),FALSE) * 12</f>
        <v>1874.6399999999999</v>
      </c>
      <c r="U7" s="41">
        <f>AA7/1000*VLOOKUP("HDD-1TB",'Hardware costs'!$B$4:$W$21,MATCH($AU$4,'Hardware costs'!$B$3:$W$3, 0),FALSE) * 12</f>
        <v>49.152000000000001</v>
      </c>
      <c r="V7" s="41"/>
      <c r="W7" s="40" t="s">
        <v>96</v>
      </c>
      <c r="X7" s="43" t="str">
        <f>VLOOKUP($W7,'Hardware costs'!$B$4:$N$21,3,FALSE)</f>
        <v>Win Server</v>
      </c>
      <c r="Y7" s="35">
        <f>VLOOKUP($W7,'Hardware costs'!$B$4:$N$21,4,FALSE)</f>
        <v>4</v>
      </c>
      <c r="Z7" s="35">
        <f>VLOOKUP($W7,'Hardware costs'!$B$4:$N$21,5,FALSE)</f>
        <v>16</v>
      </c>
      <c r="AA7" s="16">
        <v>100</v>
      </c>
      <c r="AB7" s="27"/>
      <c r="AC7" s="27"/>
      <c r="AD7" s="27"/>
      <c r="AE7" s="27"/>
      <c r="AF7" s="27"/>
      <c r="AG7" s="27"/>
      <c r="AH7" s="27"/>
      <c r="AI7" s="27"/>
      <c r="AJ7" s="171" t="s">
        <v>96</v>
      </c>
      <c r="AK7" s="16">
        <v>150</v>
      </c>
      <c r="AL7" s="27">
        <f>(INDEX('Hardware costs'!$L$4:$P$21, MATCH(Infrastructure!AJ7, 'Hardware costs'!$B$4:$B$21,0), MATCH(Infrastructure!$AU$4, 'Hardware costs'!$L$3:$P$3,0))+INDEX('Hardware costs'!$L$21:$P$21, 1, MATCH(Infrastructure!$AU$4, 'Hardware costs'!$L$3:$P$3,0))*AK7/1000)*12</f>
        <v>1948.3679999999999</v>
      </c>
      <c r="AM7" s="16">
        <v>1</v>
      </c>
      <c r="AN7" s="27">
        <f>AM7*AL7</f>
        <v>1948.3679999999999</v>
      </c>
      <c r="AO7" s="45"/>
      <c r="AP7" s="72">
        <f>H7+AN7</f>
        <v>3896.7359999999999</v>
      </c>
      <c r="AQ7" s="72"/>
      <c r="AR7" s="20"/>
      <c r="AS7" s="104"/>
      <c r="AT7" s="154"/>
      <c r="AU7" s="154"/>
      <c r="AV7" s="181"/>
      <c r="AW7" s="124"/>
      <c r="AX7" s="124"/>
    </row>
    <row r="8" spans="1:52" ht="24" customHeight="1" x14ac:dyDescent="0.25">
      <c r="B8" s="44"/>
      <c r="C8" s="21" t="s">
        <v>97</v>
      </c>
      <c r="D8" s="171" t="s">
        <v>98</v>
      </c>
      <c r="E8" s="129">
        <v>500</v>
      </c>
      <c r="F8" s="27">
        <f>(INDEX('Hardware costs'!$L$4:$P$21, MATCH(Infrastructure!D8, 'Hardware costs'!$B$4:$B$21,0), MATCH(Infrastructure!$AU$4, 'Hardware costs'!$L$3:$P$3,0))+INDEX('Hardware costs'!$L$21:$P$21, 1, MATCH(Infrastructure!$AU$4, 'Hardware costs'!$L$3:$P$3,0))*E8/1000)*12</f>
        <v>5624.4000000000005</v>
      </c>
      <c r="G8" s="15">
        <v>1</v>
      </c>
      <c r="H8" s="45">
        <f t="shared" ref="H8:H9" si="2">G8*F8</f>
        <v>5624.4000000000005</v>
      </c>
      <c r="I8" s="45"/>
      <c r="J8" s="45"/>
      <c r="K8" s="45"/>
      <c r="L8" s="45"/>
      <c r="M8" s="45"/>
      <c r="N8" s="45"/>
      <c r="O8" s="45"/>
      <c r="P8" s="45"/>
      <c r="Q8" s="45"/>
      <c r="R8" s="45"/>
      <c r="S8" s="47">
        <f t="shared" ref="S8:S9" si="3">T8+U8</f>
        <v>5624.4000000000005</v>
      </c>
      <c r="T8" s="41">
        <f>VLOOKUP($W8,'Hardware costs'!$B$4:$W$21,MATCH($AU$4,'Hardware costs'!$B$3:$W$3, 0),FALSE) * 12</f>
        <v>5378.64</v>
      </c>
      <c r="U8" s="41">
        <f>AA8/1000*VLOOKUP("HDD-1TB",'Hardware costs'!$B$4:$W$21,MATCH($AU$4,'Hardware costs'!$B$3:$W$3, 0),FALSE) * 12</f>
        <v>245.76</v>
      </c>
      <c r="V8" s="47"/>
      <c r="W8" s="39" t="s">
        <v>98</v>
      </c>
      <c r="X8" s="48" t="str">
        <f>VLOOKUP($W8,'Hardware costs'!$B$4:$N$21,3,FALSE)</f>
        <v>Win SQL Server</v>
      </c>
      <c r="Y8" s="36">
        <f>VLOOKUP($W8,'Hardware costs'!$B$4:$N$21,4,FALSE)</f>
        <v>4</v>
      </c>
      <c r="Z8" s="36">
        <f>VLOOKUP($W8,'Hardware costs'!$B$4:$N$21,5,FALSE)</f>
        <v>16</v>
      </c>
      <c r="AA8" s="18">
        <v>500</v>
      </c>
      <c r="AB8" s="45"/>
      <c r="AC8" s="45"/>
      <c r="AD8" s="45"/>
      <c r="AE8" s="45"/>
      <c r="AF8" s="45"/>
      <c r="AG8" s="45"/>
      <c r="AH8" s="45"/>
      <c r="AI8" s="45"/>
      <c r="AJ8" s="171" t="s">
        <v>98</v>
      </c>
      <c r="AK8" s="18">
        <v>500</v>
      </c>
      <c r="AL8" s="27">
        <f>(INDEX('Hardware costs'!$L$4:$P$21, MATCH(Infrastructure!AJ8, 'Hardware costs'!$B$4:$B$21,0), MATCH(Infrastructure!$AU$4, 'Hardware costs'!$L$3:$P$3,0))+INDEX('Hardware costs'!$L$21:$P$21, 1, MATCH(Infrastructure!$AU$4, 'Hardware costs'!$L$3:$P$3,0))*AK8/1000)*12</f>
        <v>5624.4000000000005</v>
      </c>
      <c r="AM8" s="15">
        <v>1</v>
      </c>
      <c r="AN8" s="27">
        <f t="shared" ref="AN8:AN9" si="4">AM8*AL8</f>
        <v>5624.4000000000005</v>
      </c>
      <c r="AO8" s="45"/>
      <c r="AP8" s="72">
        <f t="shared" si="0"/>
        <v>11248.800000000001</v>
      </c>
      <c r="AQ8" s="72"/>
      <c r="AR8" s="49"/>
      <c r="AS8" s="155"/>
      <c r="AT8" s="155"/>
      <c r="AU8" s="155"/>
      <c r="AV8" s="155"/>
      <c r="AW8" s="124"/>
      <c r="AX8" s="124"/>
    </row>
    <row r="9" spans="1:52" ht="24" customHeight="1" x14ac:dyDescent="0.25">
      <c r="B9" s="44"/>
      <c r="C9" s="21" t="s">
        <v>99</v>
      </c>
      <c r="D9" s="171" t="s">
        <v>100</v>
      </c>
      <c r="E9" s="37">
        <v>150</v>
      </c>
      <c r="F9" s="27">
        <f>(INDEX('Hardware costs'!$L$4:$P$21, MATCH(Infrastructure!D9, 'Hardware costs'!$B$4:$B$21,0), MATCH(Infrastructure!$AU$4, 'Hardware costs'!$L$3:$P$3,0))+INDEX('Hardware costs'!$L$21:$P$21, 1, MATCH(Infrastructure!$AU$4, 'Hardware costs'!$L$3:$P$3,0))*E9/1000)*12</f>
        <v>3831.768</v>
      </c>
      <c r="G9" s="15">
        <v>1</v>
      </c>
      <c r="H9" s="45">
        <f t="shared" si="2"/>
        <v>3831.768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7">
        <f t="shared" si="3"/>
        <v>3880.92</v>
      </c>
      <c r="T9" s="41">
        <f>VLOOKUP($W9,'Hardware costs'!$B$4:$W$21,MATCH($AU$4,'Hardware costs'!$B$3:$W$3, 0),FALSE) * 12</f>
        <v>3758.04</v>
      </c>
      <c r="U9" s="41">
        <f>AA9/1000*VLOOKUP("HDD-1TB",'Hardware costs'!$B$4:$W$21,MATCH($AU$4,'Hardware costs'!$B$3:$W$3, 0),FALSE) * 12</f>
        <v>122.88</v>
      </c>
      <c r="V9" s="47"/>
      <c r="W9" s="39" t="s">
        <v>100</v>
      </c>
      <c r="X9" s="48" t="str">
        <f>VLOOKUP($W9,'Hardware costs'!$B$4:$N$21,3,FALSE)</f>
        <v>Win Server</v>
      </c>
      <c r="Y9" s="36">
        <f>VLOOKUP($W9,'Hardware costs'!$B$4:$N$21,4,FALSE)</f>
        <v>8</v>
      </c>
      <c r="Z9" s="36">
        <f>VLOOKUP($W9,'Hardware costs'!$B$4:$N$21,5,FALSE)</f>
        <v>16</v>
      </c>
      <c r="AA9" s="15">
        <v>250</v>
      </c>
      <c r="AB9" s="45"/>
      <c r="AC9" s="45"/>
      <c r="AD9" s="45"/>
      <c r="AE9" s="45"/>
      <c r="AF9" s="45"/>
      <c r="AG9" s="45"/>
      <c r="AH9" s="45"/>
      <c r="AI9" s="45"/>
      <c r="AJ9" s="171" t="s">
        <v>100</v>
      </c>
      <c r="AK9" s="15">
        <v>150</v>
      </c>
      <c r="AL9" s="27">
        <f>(INDEX('Hardware costs'!$L$4:$P$21, MATCH(Infrastructure!AJ9, 'Hardware costs'!$B$4:$B$21,0), MATCH(Infrastructure!$AU$4, 'Hardware costs'!$L$3:$P$3,0))+INDEX('Hardware costs'!$L$21:$P$21, 1, MATCH(Infrastructure!$AU$4, 'Hardware costs'!$L$3:$P$3,0))*AK9/1000)*12</f>
        <v>3831.768</v>
      </c>
      <c r="AM9" s="17">
        <f>ROUNDUP(Volume!$F$38,0)</f>
        <v>1</v>
      </c>
      <c r="AN9" s="27">
        <f t="shared" si="4"/>
        <v>3831.768</v>
      </c>
      <c r="AO9" s="45"/>
      <c r="AP9" s="72">
        <f t="shared" si="0"/>
        <v>7663.5360000000001</v>
      </c>
      <c r="AQ9" s="72"/>
      <c r="AR9" s="49"/>
      <c r="AS9" s="155"/>
      <c r="AT9" s="155"/>
      <c r="AU9" s="155"/>
      <c r="AV9" s="155"/>
      <c r="AW9" s="124"/>
      <c r="AX9" s="124"/>
    </row>
    <row r="10" spans="1:52" ht="24" hidden="1" customHeight="1" x14ac:dyDescent="0.25">
      <c r="B10" s="44"/>
      <c r="C10" s="14" t="s">
        <v>101</v>
      </c>
      <c r="D10" s="171"/>
      <c r="E10" s="37">
        <v>250</v>
      </c>
      <c r="F10" s="27">
        <f>(INDEX('Hardware costs'!$L$21:$P$21, 1, MATCH(Infrastructure!$AU$4, 'Hardware costs'!$L$3:$P$3,0))*E10/1000)*12</f>
        <v>122.88</v>
      </c>
      <c r="G10" s="1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7" t="e">
        <f>T10+U10</f>
        <v>#N/A</v>
      </c>
      <c r="T10" s="41" t="e">
        <f>VLOOKUP($W10,'Hardware costs'!$B$4:$W$21,MATCH($AU$4,'Hardware costs'!$B$3:$W$3, 0),FALSE) * 12</f>
        <v>#N/A</v>
      </c>
      <c r="U10" s="41">
        <f>AA10/1000*VLOOKUP("HDD-1TB",'Hardware costs'!$B$4:$W$21,MATCH($AU$4,'Hardware costs'!$B$3:$W$3, 0),FALSE) * 12</f>
        <v>25.067519999999995</v>
      </c>
      <c r="V10" s="47"/>
      <c r="W10" s="39" t="s">
        <v>102</v>
      </c>
      <c r="X10" s="48" t="e">
        <f>VLOOKUP($W10,'Hardware costs'!$B$4:$N$21,3,FALSE)</f>
        <v>#N/A</v>
      </c>
      <c r="Y10" s="36" t="e">
        <f>VLOOKUP($W10,'Hardware costs'!$B$4:$N$21,4,FALSE)</f>
        <v>#N/A</v>
      </c>
      <c r="Z10" s="36" t="e">
        <f>VLOOKUP($W10,'Hardware costs'!$B$4:$N$21,5,FALSE)</f>
        <v>#N/A</v>
      </c>
      <c r="AA10" s="15">
        <v>51</v>
      </c>
      <c r="AB10" s="45"/>
      <c r="AC10" s="45"/>
      <c r="AD10" s="45"/>
      <c r="AE10" s="45"/>
      <c r="AF10" s="45"/>
      <c r="AG10" s="45"/>
      <c r="AH10" s="45"/>
      <c r="AI10" s="45"/>
      <c r="AJ10" s="39"/>
      <c r="AK10" s="15">
        <v>250</v>
      </c>
      <c r="AL10" s="27">
        <f>(INDEX('Hardware costs'!$L$21:$P$21, 1, MATCH(Infrastructure!$AU$4, 'Hardware costs'!$L$3:$P$3,0))*AK10/1000)*12</f>
        <v>122.88</v>
      </c>
      <c r="AM10" s="17"/>
      <c r="AN10" s="27"/>
      <c r="AO10" s="45"/>
      <c r="AP10" s="72">
        <f t="shared" ref="AP10" si="5">H10+AN10</f>
        <v>0</v>
      </c>
      <c r="AQ10" s="72"/>
      <c r="AR10" s="49"/>
      <c r="AS10" s="104"/>
      <c r="AT10" s="154"/>
      <c r="AU10" s="154"/>
      <c r="AV10" s="181"/>
      <c r="AW10" s="124"/>
      <c r="AX10" s="124"/>
    </row>
    <row r="11" spans="1:52" ht="24.95" customHeight="1" x14ac:dyDescent="0.25">
      <c r="B11" s="77"/>
      <c r="C11" s="29" t="s">
        <v>34</v>
      </c>
      <c r="D11" s="172"/>
      <c r="E11" s="30"/>
      <c r="F11" s="30"/>
      <c r="G11" s="30"/>
      <c r="H11" s="31">
        <f>SUM(H5:H9)</f>
        <v>21202.824000000001</v>
      </c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42">
        <f>SUM(S5:S9)</f>
        <v>18453.167999999998</v>
      </c>
      <c r="T11" s="42">
        <f>SUM(T5:T9)</f>
        <v>17887.920000000002</v>
      </c>
      <c r="U11" s="42">
        <f>SUM(U5:U9)</f>
        <v>565.24800000000005</v>
      </c>
      <c r="V11" s="42"/>
      <c r="W11" s="30"/>
      <c r="X11" s="30"/>
      <c r="Y11" s="30"/>
      <c r="Z11" s="30"/>
      <c r="AA11" s="30"/>
      <c r="AB11" s="31"/>
      <c r="AC11" s="31"/>
      <c r="AD11" s="31"/>
      <c r="AE11" s="31"/>
      <c r="AF11" s="31"/>
      <c r="AG11" s="31"/>
      <c r="AH11" s="31"/>
      <c r="AI11" s="31"/>
      <c r="AJ11" s="30"/>
      <c r="AK11" s="30"/>
      <c r="AL11" s="30"/>
      <c r="AM11" s="30"/>
      <c r="AN11" s="31">
        <f>SUM(AN5:AN9)</f>
        <v>21202.824000000001</v>
      </c>
      <c r="AO11" s="70"/>
      <c r="AP11" s="164">
        <f>SUM(AP5:AP9)</f>
        <v>42405.648000000001</v>
      </c>
      <c r="AQ11" s="73"/>
      <c r="AR11" s="20"/>
      <c r="AS11" s="104"/>
      <c r="AT11" s="154"/>
      <c r="AU11" s="154"/>
      <c r="AV11" s="181"/>
      <c r="AW11" s="124"/>
      <c r="AX11" s="124"/>
    </row>
    <row r="12" spans="1:52" ht="54.95" customHeight="1" x14ac:dyDescent="0.25">
      <c r="B12" s="20"/>
      <c r="C12" s="190"/>
      <c r="D12" s="190"/>
      <c r="E12" s="190"/>
      <c r="F12" s="190"/>
      <c r="G12" s="190"/>
      <c r="H12" s="190"/>
      <c r="I12" s="19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63"/>
      <c r="AQ12" s="63"/>
      <c r="AR12" s="20"/>
      <c r="AS12" s="104"/>
      <c r="AT12" s="154"/>
      <c r="AU12" s="154"/>
      <c r="AV12" s="181"/>
      <c r="AW12" s="124"/>
      <c r="AX12" s="124"/>
    </row>
    <row r="13" spans="1:52" ht="32.1" customHeight="1" x14ac:dyDescent="0.25">
      <c r="A13"/>
      <c r="B13"/>
      <c r="C13"/>
      <c r="D13" s="17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 s="105"/>
      <c r="AT13"/>
      <c r="AU13"/>
      <c r="AV13" s="181"/>
    </row>
    <row r="14" spans="1:52" ht="32.1" customHeight="1" x14ac:dyDescent="0.25">
      <c r="A14"/>
      <c r="B14"/>
      <c r="C14"/>
      <c r="D14" s="173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</row>
    <row r="15" spans="1:52" ht="24" customHeight="1" x14ac:dyDescent="0.25">
      <c r="A15"/>
      <c r="B15"/>
      <c r="C15"/>
      <c r="D15" s="173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</row>
    <row r="16" spans="1:52" ht="24" customHeight="1" x14ac:dyDescent="0.25">
      <c r="A16"/>
      <c r="B16"/>
      <c r="C16"/>
      <c r="D16" s="173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 s="9"/>
    </row>
    <row r="17" spans="1:48" ht="24" customHeight="1" x14ac:dyDescent="0.25">
      <c r="A17"/>
      <c r="B17"/>
      <c r="C17"/>
      <c r="D17" s="173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 s="9"/>
    </row>
    <row r="18" spans="1:48" ht="24" customHeight="1" x14ac:dyDescent="0.25">
      <c r="A18"/>
      <c r="B18"/>
      <c r="C18"/>
      <c r="D18" s="173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 s="9"/>
    </row>
    <row r="19" spans="1:48" ht="24.95" customHeight="1" x14ac:dyDescent="0.25">
      <c r="A19"/>
      <c r="B19"/>
      <c r="C19"/>
      <c r="D19" s="173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 s="9"/>
    </row>
    <row r="20" spans="1:48" ht="39" customHeight="1" x14ac:dyDescent="0.25">
      <c r="A20"/>
      <c r="B20"/>
      <c r="C20"/>
      <c r="D20" s="173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 s="25"/>
    </row>
    <row r="21" spans="1:48" ht="32.1" customHeight="1" x14ac:dyDescent="0.25">
      <c r="A21"/>
      <c r="B21"/>
      <c r="C21"/>
      <c r="D21" s="173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 s="25"/>
    </row>
    <row r="22" spans="1:48" ht="33" customHeight="1" x14ac:dyDescent="0.25">
      <c r="A22"/>
      <c r="B22"/>
      <c r="C22"/>
      <c r="D22" s="173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 s="25"/>
    </row>
    <row r="23" spans="1:48" ht="24.95" customHeight="1" x14ac:dyDescent="0.25">
      <c r="A23"/>
      <c r="B23"/>
      <c r="C23"/>
      <c r="D23" s="17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 s="20"/>
    </row>
    <row r="24" spans="1:48" ht="24.95" customHeight="1" x14ac:dyDescent="0.25">
      <c r="A24"/>
      <c r="B24"/>
      <c r="C24"/>
      <c r="D24" s="173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 s="20"/>
    </row>
    <row r="25" spans="1:48" ht="24.95" customHeight="1" x14ac:dyDescent="0.25">
      <c r="A25"/>
      <c r="B25"/>
      <c r="C25"/>
      <c r="D25" s="173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 s="20"/>
    </row>
    <row r="26" spans="1:48" ht="24.95" customHeight="1" x14ac:dyDescent="0.25">
      <c r="A26"/>
      <c r="B26"/>
      <c r="C26"/>
      <c r="D26" s="173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 s="20"/>
      <c r="AV26" s="1" t="s">
        <v>103</v>
      </c>
    </row>
    <row r="27" spans="1:48" ht="15" customHeight="1" x14ac:dyDescent="0.25">
      <c r="B27" s="20"/>
      <c r="C27" s="20"/>
      <c r="D27" s="63"/>
      <c r="E27" s="20"/>
      <c r="F27" s="20"/>
      <c r="G27" s="12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74"/>
      <c r="AO27" s="74"/>
      <c r="AP27" s="74"/>
      <c r="AQ27" s="74"/>
      <c r="AR27" s="20"/>
      <c r="AS27" s="20"/>
    </row>
    <row r="28" spans="1:48" ht="15" customHeight="1" x14ac:dyDescent="0.25">
      <c r="B28" s="20"/>
      <c r="C28" s="20"/>
      <c r="D28" s="63"/>
      <c r="E28" s="20"/>
      <c r="F28" s="20"/>
      <c r="G28" s="12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</row>
    <row r="29" spans="1:48" ht="15" customHeight="1" x14ac:dyDescent="0.25">
      <c r="B29" s="9"/>
      <c r="C29" s="9"/>
      <c r="D29" s="174"/>
      <c r="E29" s="9"/>
      <c r="F29" s="9"/>
      <c r="G29" s="1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</row>
    <row r="30" spans="1:48" ht="15" customHeight="1" x14ac:dyDescent="0.25">
      <c r="B30" s="9"/>
      <c r="C30" s="9"/>
      <c r="D30" s="174"/>
      <c r="E30" s="9"/>
      <c r="F30" s="9"/>
      <c r="G30" s="1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 t="s">
        <v>103</v>
      </c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</row>
    <row r="31" spans="1:48" x14ac:dyDescent="0.25">
      <c r="B31" s="9"/>
      <c r="C31" s="9"/>
      <c r="D31" s="174"/>
      <c r="E31" s="9"/>
      <c r="F31" s="9"/>
      <c r="G31" s="1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 t="s">
        <v>103</v>
      </c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</row>
    <row r="32" spans="1:48" x14ac:dyDescent="0.25">
      <c r="B32" s="9"/>
      <c r="C32" s="9"/>
      <c r="D32" s="174"/>
      <c r="E32" s="9"/>
      <c r="F32" s="9"/>
      <c r="G32" s="1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</row>
    <row r="33" spans="2:45" x14ac:dyDescent="0.25">
      <c r="B33" s="9"/>
      <c r="C33" s="9"/>
      <c r="D33" s="174"/>
      <c r="E33" s="9"/>
      <c r="F33" s="9"/>
      <c r="G33" s="10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</row>
    <row r="34" spans="2:45" x14ac:dyDescent="0.25">
      <c r="B34" s="9"/>
      <c r="C34" s="9"/>
      <c r="D34" s="174"/>
      <c r="E34" s="9"/>
      <c r="F34" s="9"/>
      <c r="G34" s="1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</row>
    <row r="35" spans="2:45" x14ac:dyDescent="0.25">
      <c r="B35" s="9"/>
      <c r="C35" s="9"/>
      <c r="D35" s="174"/>
      <c r="E35" s="9"/>
      <c r="F35" s="9"/>
      <c r="G35" s="1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</row>
    <row r="36" spans="2:45" x14ac:dyDescent="0.25">
      <c r="B36" s="9"/>
      <c r="C36" s="9"/>
      <c r="D36" s="174"/>
      <c r="E36" s="9"/>
      <c r="F36" s="9"/>
      <c r="G36" s="10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</row>
    <row r="37" spans="2:45" x14ac:dyDescent="0.25">
      <c r="B37" s="9"/>
      <c r="C37" s="9"/>
      <c r="D37" s="174"/>
      <c r="E37" s="9"/>
      <c r="F37" s="9"/>
      <c r="G37" s="10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</row>
    <row r="38" spans="2:45" x14ac:dyDescent="0.25">
      <c r="B38" s="9"/>
      <c r="C38" s="9"/>
      <c r="D38" s="174"/>
      <c r="E38" s="9"/>
      <c r="F38" s="9"/>
      <c r="G38" s="1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</row>
    <row r="39" spans="2:45" x14ac:dyDescent="0.25">
      <c r="B39" s="9"/>
      <c r="C39" s="9"/>
      <c r="D39" s="174"/>
      <c r="E39" s="9"/>
      <c r="F39" s="9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</row>
    <row r="40" spans="2:45" x14ac:dyDescent="0.25">
      <c r="B40" s="9"/>
      <c r="C40" s="9"/>
      <c r="D40" s="174"/>
      <c r="E40" s="9"/>
      <c r="F40" s="9"/>
      <c r="G40" s="1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spans="2:45" x14ac:dyDescent="0.25">
      <c r="B41" s="9"/>
      <c r="C41" s="9"/>
      <c r="D41" s="174"/>
      <c r="E41" s="9"/>
      <c r="F41" s="9"/>
      <c r="G41" s="10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</row>
    <row r="42" spans="2:45" x14ac:dyDescent="0.25">
      <c r="B42" s="9"/>
      <c r="C42" s="9"/>
      <c r="D42" s="174"/>
      <c r="E42" s="9"/>
      <c r="F42" s="9"/>
      <c r="G42" s="10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</row>
    <row r="43" spans="2:45" x14ac:dyDescent="0.25">
      <c r="B43" s="9"/>
      <c r="C43" s="9"/>
      <c r="D43" s="174"/>
      <c r="E43" s="9"/>
      <c r="F43" s="9"/>
      <c r="G43" s="10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</row>
    <row r="44" spans="2:45" x14ac:dyDescent="0.25">
      <c r="B44" s="9"/>
      <c r="C44" s="9"/>
      <c r="D44" s="174"/>
      <c r="E44" s="9"/>
      <c r="F44" s="9"/>
      <c r="G44" s="10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</row>
    <row r="45" spans="2:45" x14ac:dyDescent="0.25">
      <c r="B45" s="9"/>
      <c r="C45" s="9"/>
      <c r="D45" s="174"/>
      <c r="E45" s="9"/>
      <c r="F45" s="9"/>
      <c r="G45" s="10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</row>
    <row r="46" spans="2:45" x14ac:dyDescent="0.25">
      <c r="B46" s="9"/>
      <c r="C46" s="9"/>
      <c r="D46" s="174"/>
      <c r="E46" s="9"/>
      <c r="F46" s="9"/>
      <c r="G46" s="10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</row>
    <row r="47" spans="2:45" x14ac:dyDescent="0.25">
      <c r="B47" s="9"/>
      <c r="C47" s="9"/>
      <c r="D47" s="174"/>
      <c r="E47" s="9"/>
      <c r="F47" s="9"/>
      <c r="G47" s="10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</row>
    <row r="48" spans="2:45" x14ac:dyDescent="0.25">
      <c r="B48" s="9"/>
      <c r="C48" s="9"/>
      <c r="D48" s="174"/>
      <c r="E48" s="9"/>
      <c r="F48" s="9"/>
      <c r="G48" s="10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</row>
    <row r="49" spans="2:45" x14ac:dyDescent="0.25">
      <c r="B49" s="9"/>
      <c r="C49" s="9"/>
      <c r="D49" s="174"/>
      <c r="E49" s="9"/>
      <c r="F49" s="9"/>
      <c r="G49" s="10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</row>
    <row r="50" spans="2:45" x14ac:dyDescent="0.25">
      <c r="B50" s="9"/>
      <c r="C50" s="9"/>
      <c r="D50" s="174"/>
      <c r="E50" s="9"/>
      <c r="F50" s="9"/>
      <c r="G50" s="10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</row>
    <row r="51" spans="2:45" x14ac:dyDescent="0.25">
      <c r="B51" s="9"/>
      <c r="C51" s="9"/>
      <c r="D51" s="174"/>
      <c r="E51" s="9"/>
      <c r="F51" s="9"/>
      <c r="G51" s="10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</row>
    <row r="52" spans="2:45" x14ac:dyDescent="0.25">
      <c r="B52" s="9"/>
      <c r="C52" s="9"/>
      <c r="D52" s="174"/>
      <c r="E52" s="9"/>
      <c r="F52" s="9"/>
      <c r="G52" s="10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</row>
    <row r="53" spans="2:45" x14ac:dyDescent="0.25">
      <c r="B53" s="9"/>
      <c r="C53" s="9"/>
      <c r="D53" s="174"/>
      <c r="E53" s="9"/>
      <c r="F53" s="9"/>
      <c r="G53" s="10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</row>
    <row r="54" spans="2:45" x14ac:dyDescent="0.25">
      <c r="B54" s="9"/>
      <c r="C54" s="9"/>
      <c r="D54" s="174"/>
      <c r="E54" s="9"/>
      <c r="F54" s="9"/>
      <c r="G54" s="10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</row>
    <row r="55" spans="2:45" x14ac:dyDescent="0.25">
      <c r="B55" s="9"/>
      <c r="C55" s="9"/>
      <c r="D55" s="174"/>
      <c r="E55" s="9"/>
      <c r="F55" s="9"/>
      <c r="G55" s="10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</row>
    <row r="56" spans="2:45" x14ac:dyDescent="0.25">
      <c r="B56" s="9"/>
      <c r="C56" s="9"/>
      <c r="D56" s="174"/>
      <c r="E56" s="9"/>
      <c r="F56" s="9"/>
      <c r="G56" s="10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</row>
    <row r="57" spans="2:45" x14ac:dyDescent="0.25">
      <c r="B57" s="9"/>
      <c r="C57" s="9"/>
      <c r="D57" s="174"/>
      <c r="E57" s="9"/>
      <c r="F57" s="9"/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</row>
    <row r="58" spans="2:45" x14ac:dyDescent="0.25">
      <c r="B58" s="9"/>
      <c r="C58" s="9"/>
      <c r="D58" s="174"/>
      <c r="E58" s="9"/>
      <c r="F58" s="9"/>
      <c r="G58" s="10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</row>
    <row r="59" spans="2:45" x14ac:dyDescent="0.25">
      <c r="B59" s="9"/>
      <c r="C59" s="9"/>
      <c r="D59" s="174"/>
      <c r="E59" s="9"/>
      <c r="F59" s="9"/>
      <c r="G59" s="10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</row>
    <row r="60" spans="2:45" x14ac:dyDescent="0.25">
      <c r="B60" s="9"/>
      <c r="C60" s="9"/>
      <c r="D60" s="174"/>
      <c r="E60" s="9"/>
      <c r="F60" s="9"/>
      <c r="G60" s="10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</row>
    <row r="61" spans="2:45" x14ac:dyDescent="0.25">
      <c r="B61" s="9"/>
      <c r="C61" s="9"/>
      <c r="D61" s="174"/>
      <c r="E61" s="9"/>
      <c r="F61" s="9"/>
      <c r="G61" s="10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</row>
    <row r="62" spans="2:45" x14ac:dyDescent="0.25">
      <c r="B62" s="9"/>
      <c r="C62" s="9"/>
      <c r="D62" s="174"/>
      <c r="E62" s="9"/>
      <c r="F62" s="9"/>
      <c r="G62" s="10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</row>
    <row r="63" spans="2:45" x14ac:dyDescent="0.25">
      <c r="B63" s="9"/>
      <c r="C63" s="9"/>
      <c r="D63" s="174"/>
      <c r="E63" s="9"/>
      <c r="F63" s="9"/>
      <c r="G63" s="10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</row>
    <row r="64" spans="2:45" x14ac:dyDescent="0.25">
      <c r="B64" s="9"/>
      <c r="C64" s="9"/>
      <c r="D64" s="174"/>
      <c r="E64" s="9"/>
      <c r="F64" s="9"/>
      <c r="G64" s="10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</row>
    <row r="65" spans="2:45" x14ac:dyDescent="0.25">
      <c r="B65" s="9"/>
      <c r="C65" s="9"/>
      <c r="D65" s="174"/>
      <c r="E65" s="9"/>
      <c r="F65" s="9"/>
      <c r="G65" s="10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</row>
    <row r="66" spans="2:45" x14ac:dyDescent="0.25">
      <c r="B66" s="9"/>
      <c r="C66" s="9"/>
      <c r="D66" s="174"/>
      <c r="E66" s="9"/>
      <c r="F66" s="9"/>
      <c r="G66" s="10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</row>
    <row r="67" spans="2:45" x14ac:dyDescent="0.25">
      <c r="B67" s="9"/>
      <c r="C67" s="9"/>
      <c r="D67" s="174"/>
      <c r="E67" s="9"/>
      <c r="F67" s="9"/>
      <c r="G67" s="10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</row>
    <row r="68" spans="2:45" x14ac:dyDescent="0.25">
      <c r="B68" s="9"/>
      <c r="C68" s="9"/>
      <c r="D68" s="174"/>
      <c r="E68" s="9"/>
      <c r="F68" s="9"/>
      <c r="G68" s="10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</row>
    <row r="69" spans="2:45" x14ac:dyDescent="0.25">
      <c r="B69" s="9"/>
      <c r="C69" s="9"/>
      <c r="D69" s="174"/>
      <c r="E69" s="9"/>
      <c r="F69" s="9"/>
      <c r="G69" s="10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</row>
    <row r="70" spans="2:45" x14ac:dyDescent="0.25">
      <c r="B70" s="9"/>
      <c r="C70" s="9"/>
      <c r="D70" s="174"/>
      <c r="E70" s="9"/>
      <c r="F70" s="9"/>
      <c r="G70" s="10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</row>
    <row r="71" spans="2:45" x14ac:dyDescent="0.25">
      <c r="B71" s="9"/>
      <c r="C71" s="9"/>
      <c r="D71" s="174"/>
      <c r="E71" s="9"/>
      <c r="F71" s="9"/>
      <c r="G71" s="10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</row>
    <row r="72" spans="2:45" x14ac:dyDescent="0.25">
      <c r="B72" s="9"/>
      <c r="C72" s="9"/>
      <c r="D72" s="174"/>
      <c r="E72" s="9"/>
      <c r="F72" s="9"/>
      <c r="G72" s="10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</row>
    <row r="73" spans="2:45" x14ac:dyDescent="0.25">
      <c r="B73" s="9"/>
      <c r="C73" s="9"/>
      <c r="D73" s="174"/>
      <c r="E73" s="9"/>
      <c r="F73" s="9"/>
      <c r="G73" s="10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</row>
    <row r="74" spans="2:45" x14ac:dyDescent="0.25">
      <c r="B74" s="9"/>
      <c r="C74" s="9"/>
      <c r="D74" s="174"/>
      <c r="E74" s="9"/>
      <c r="F74" s="9"/>
      <c r="G74" s="10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2:45" x14ac:dyDescent="0.25">
      <c r="B75" s="9"/>
      <c r="C75" s="9"/>
      <c r="D75" s="174"/>
      <c r="E75" s="9"/>
      <c r="F75" s="9"/>
      <c r="G75" s="10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</row>
    <row r="76" spans="2:45" x14ac:dyDescent="0.25">
      <c r="B76" s="9"/>
      <c r="C76" s="9"/>
      <c r="D76" s="174"/>
      <c r="E76" s="9"/>
      <c r="F76" s="9"/>
      <c r="G76" s="10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</row>
    <row r="77" spans="2:45" x14ac:dyDescent="0.25">
      <c r="B77" s="9"/>
      <c r="C77" s="9"/>
      <c r="D77" s="174"/>
      <c r="E77" s="9"/>
      <c r="F77" s="9"/>
      <c r="G77" s="10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</row>
    <row r="78" spans="2:45" x14ac:dyDescent="0.25">
      <c r="B78" s="9"/>
      <c r="C78" s="9"/>
      <c r="D78" s="174"/>
      <c r="E78" s="9"/>
      <c r="F78" s="9"/>
      <c r="G78" s="10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</row>
    <row r="79" spans="2:45" x14ac:dyDescent="0.25">
      <c r="B79" s="9"/>
      <c r="C79" s="9"/>
      <c r="D79" s="174"/>
      <c r="E79" s="9"/>
      <c r="F79" s="9"/>
      <c r="G79" s="10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</row>
    <row r="80" spans="2:45" x14ac:dyDescent="0.25">
      <c r="B80" s="9"/>
      <c r="C80" s="9"/>
      <c r="D80" s="174"/>
      <c r="E80" s="9"/>
      <c r="F80" s="9"/>
      <c r="G80" s="10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</row>
    <row r="81" spans="2:45" x14ac:dyDescent="0.25">
      <c r="B81" s="9"/>
      <c r="C81" s="9"/>
      <c r="D81" s="174"/>
      <c r="E81" s="9"/>
      <c r="F81" s="9"/>
      <c r="G81" s="10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</row>
    <row r="82" spans="2:45" x14ac:dyDescent="0.25">
      <c r="B82" s="9"/>
      <c r="C82" s="9"/>
      <c r="D82" s="174"/>
      <c r="E82" s="9"/>
      <c r="F82" s="9"/>
      <c r="G82" s="10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</row>
    <row r="83" spans="2:45" x14ac:dyDescent="0.25">
      <c r="B83" s="9"/>
      <c r="C83" s="9"/>
      <c r="D83" s="174"/>
      <c r="E83" s="9"/>
      <c r="F83" s="9"/>
      <c r="G83" s="10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</row>
    <row r="84" spans="2:45" x14ac:dyDescent="0.25">
      <c r="B84" s="9"/>
      <c r="C84" s="9"/>
      <c r="D84" s="174"/>
      <c r="E84" s="9"/>
      <c r="F84" s="9"/>
      <c r="G84" s="10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</row>
    <row r="85" spans="2:45" x14ac:dyDescent="0.25">
      <c r="B85" s="9"/>
      <c r="C85" s="9"/>
      <c r="D85" s="174"/>
      <c r="E85" s="9"/>
      <c r="F85" s="9"/>
      <c r="G85" s="10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</row>
    <row r="86" spans="2:45" x14ac:dyDescent="0.25">
      <c r="B86" s="9"/>
      <c r="C86" s="9"/>
      <c r="D86" s="174"/>
      <c r="E86" s="9"/>
      <c r="F86" s="9"/>
      <c r="G86" s="10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</row>
    <row r="87" spans="2:45" x14ac:dyDescent="0.25">
      <c r="B87" s="9"/>
      <c r="C87" s="9"/>
      <c r="D87" s="174"/>
      <c r="E87" s="9"/>
      <c r="F87" s="9"/>
      <c r="G87" s="10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</row>
    <row r="88" spans="2:45" x14ac:dyDescent="0.25">
      <c r="B88" s="9"/>
      <c r="C88" s="9"/>
      <c r="D88" s="174"/>
      <c r="E88" s="9"/>
      <c r="F88" s="9"/>
      <c r="G88" s="10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</row>
    <row r="89" spans="2:45" x14ac:dyDescent="0.25">
      <c r="B89" s="9"/>
      <c r="C89" s="9"/>
      <c r="D89" s="174"/>
      <c r="E89" s="9"/>
      <c r="F89" s="9"/>
      <c r="G89" s="10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</row>
    <row r="90" spans="2:45" x14ac:dyDescent="0.25">
      <c r="B90" s="9"/>
      <c r="C90" s="9"/>
      <c r="D90" s="174"/>
      <c r="E90" s="9"/>
      <c r="F90" s="9"/>
      <c r="G90" s="10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</row>
    <row r="91" spans="2:45" x14ac:dyDescent="0.25">
      <c r="B91" s="9"/>
      <c r="C91" s="9"/>
      <c r="D91" s="174"/>
      <c r="E91" s="9"/>
      <c r="F91" s="9"/>
      <c r="G91" s="10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</row>
    <row r="92" spans="2:45" x14ac:dyDescent="0.25">
      <c r="B92" s="9"/>
      <c r="C92" s="9"/>
      <c r="D92" s="174"/>
      <c r="E92" s="9"/>
      <c r="F92" s="9"/>
      <c r="G92" s="10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</row>
    <row r="93" spans="2:45" x14ac:dyDescent="0.25">
      <c r="B93" s="9"/>
      <c r="C93" s="9"/>
      <c r="D93" s="174"/>
      <c r="E93" s="9"/>
      <c r="F93" s="9"/>
      <c r="G93" s="10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</row>
    <row r="94" spans="2:45" x14ac:dyDescent="0.25">
      <c r="B94" s="9"/>
      <c r="C94" s="9"/>
      <c r="D94" s="174"/>
      <c r="E94" s="9"/>
      <c r="F94" s="9"/>
      <c r="G94" s="10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</row>
  </sheetData>
  <mergeCells count="7">
    <mergeCell ref="C12:I12"/>
    <mergeCell ref="D1:AV1"/>
    <mergeCell ref="AU4:AV4"/>
    <mergeCell ref="AP3:AP4"/>
    <mergeCell ref="S3:AA3"/>
    <mergeCell ref="AJ3:AN3"/>
    <mergeCell ref="D3:I3"/>
  </mergeCells>
  <phoneticPr fontId="18" type="noConversion"/>
  <dataValidations count="1">
    <dataValidation type="list" allowBlank="1" showInputMessage="1" showErrorMessage="1" sqref="AV6:AV7 AV10:AV13" xr:uid="{00000000-0002-0000-0100-000000000000}">
      <formula1>"Yes,No"</formula1>
    </dataValidation>
  </dataValidations>
  <pageMargins left="0.7" right="0.7" top="0.75" bottom="0.75" header="0.3" footer="0.3"/>
  <pageSetup paperSize="1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CC8249A-BA1D-774C-9077-D98D1DC592BC}">
          <x14:formula1>
            <xm:f>'Hardware costs'!$L$3:$P$3</xm:f>
          </x14:formula1>
          <xm:sqref>AU4:AV4</xm:sqref>
        </x14:dataValidation>
        <x14:dataValidation type="list" allowBlank="1" showInputMessage="1" showErrorMessage="1" xr:uid="{00000000-0002-0000-0100-000001000000}">
          <x14:formula1>
            <xm:f>'Hardware costs'!$B$4:$B$21</xm:f>
          </x14:formula1>
          <xm:sqref>W5:W9 W10 AJ5:AJ9 AJ10 D5:D9 D10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P34"/>
  <sheetViews>
    <sheetView showGridLines="0" zoomScaleNormal="100" workbookViewId="0">
      <pane ySplit="1" topLeftCell="A2" activePane="bottomLeft" state="frozen"/>
      <selection pane="bottomLeft" activeCell="H9" sqref="H9"/>
    </sheetView>
  </sheetViews>
  <sheetFormatPr defaultColWidth="10.85546875" defaultRowHeight="15" x14ac:dyDescent="0.25"/>
  <cols>
    <col min="1" max="1" width="3.140625" customWidth="1"/>
    <col min="2" max="2" width="17.7109375" customWidth="1"/>
    <col min="3" max="3" width="25.85546875" customWidth="1"/>
    <col min="4" max="4" width="7.42578125" customWidth="1"/>
    <col min="5" max="5" width="8.42578125" customWidth="1"/>
    <col min="6" max="6" width="8.85546875" customWidth="1"/>
    <col min="7" max="7" width="5.85546875" customWidth="1"/>
    <col min="8" max="8" width="15.7109375" customWidth="1"/>
    <col min="9" max="11" width="18.140625" style="2" customWidth="1"/>
    <col min="12" max="12" width="9.140625" style="3" bestFit="1" customWidth="1"/>
    <col min="13" max="13" width="16" style="3" customWidth="1"/>
    <col min="14" max="14" width="13" style="3" bestFit="1" customWidth="1"/>
    <col min="15" max="15" width="15.28515625" style="3" customWidth="1"/>
    <col min="16" max="16" width="9.28515625" customWidth="1"/>
  </cols>
  <sheetData>
    <row r="1" spans="1:16" ht="60" customHeight="1" x14ac:dyDescent="0.25">
      <c r="B1" s="114" t="s">
        <v>104</v>
      </c>
      <c r="C1" s="115"/>
      <c r="D1" s="114"/>
    </row>
    <row r="2" spans="1:16" ht="21" customHeight="1" x14ac:dyDescent="0.25">
      <c r="B2" s="86"/>
      <c r="C2" s="86"/>
      <c r="D2" s="114"/>
    </row>
    <row r="3" spans="1:16" ht="39" customHeight="1" x14ac:dyDescent="0.25">
      <c r="A3" s="89"/>
      <c r="B3" s="103" t="s">
        <v>105</v>
      </c>
      <c r="C3" s="96" t="s">
        <v>106</v>
      </c>
      <c r="D3" s="96" t="s">
        <v>85</v>
      </c>
      <c r="E3" s="101" t="s">
        <v>86</v>
      </c>
      <c r="F3" s="101" t="s">
        <v>87</v>
      </c>
      <c r="G3" s="101"/>
      <c r="H3" s="96" t="s">
        <v>107</v>
      </c>
      <c r="I3" s="97" t="s">
        <v>108</v>
      </c>
      <c r="J3" s="97" t="s">
        <v>109</v>
      </c>
      <c r="K3" s="97" t="s">
        <v>110</v>
      </c>
      <c r="L3" s="100" t="s">
        <v>111</v>
      </c>
      <c r="M3" s="100" t="s">
        <v>112</v>
      </c>
      <c r="N3" s="100" t="s">
        <v>90</v>
      </c>
      <c r="O3" s="100" t="s">
        <v>113</v>
      </c>
      <c r="P3" s="101" t="s">
        <v>114</v>
      </c>
    </row>
    <row r="4" spans="1:16" s="90" customFormat="1" ht="32.1" customHeight="1" x14ac:dyDescent="0.25">
      <c r="A4" s="147"/>
      <c r="B4" s="104" t="str">
        <f>CONCATENATE("L-",E4,"-",F4)</f>
        <v>L-2-4</v>
      </c>
      <c r="C4" s="91"/>
      <c r="D4" s="91" t="s">
        <v>115</v>
      </c>
      <c r="E4" s="102">
        <v>2</v>
      </c>
      <c r="F4" s="102">
        <v>4</v>
      </c>
      <c r="G4" s="102"/>
      <c r="H4" s="91" t="s">
        <v>116</v>
      </c>
      <c r="I4" s="92" t="s">
        <v>117</v>
      </c>
      <c r="J4" s="92" t="s">
        <v>118</v>
      </c>
      <c r="K4" s="92" t="s">
        <v>119</v>
      </c>
      <c r="L4" s="98">
        <v>114.2</v>
      </c>
      <c r="M4" s="98">
        <v>92.34</v>
      </c>
      <c r="N4" s="98">
        <v>116.22</v>
      </c>
      <c r="O4" s="98">
        <v>101</v>
      </c>
      <c r="P4" s="99">
        <f>IF($D4="RHEL", 210, IF(OR($D4="Win VDI", $D4="Win Server", $D4="Win SQL Server"), 240, 10000000)) + IF($D4="Win SQL Server", 200, 30)*$E4 + F4/32*20</f>
        <v>272.5</v>
      </c>
    </row>
    <row r="5" spans="1:16" s="130" customFormat="1" ht="32.1" customHeight="1" x14ac:dyDescent="0.25">
      <c r="A5" s="147"/>
      <c r="B5" s="134" t="s">
        <v>120</v>
      </c>
      <c r="C5" s="135" t="s">
        <v>121</v>
      </c>
      <c r="D5" s="135" t="s">
        <v>115</v>
      </c>
      <c r="E5" s="136">
        <v>2</v>
      </c>
      <c r="F5" s="136">
        <v>8</v>
      </c>
      <c r="G5" s="136"/>
      <c r="H5" s="135" t="s">
        <v>116</v>
      </c>
      <c r="I5" s="137" t="s">
        <v>117</v>
      </c>
      <c r="J5" s="137" t="s">
        <v>118</v>
      </c>
      <c r="K5" s="137" t="s">
        <v>122</v>
      </c>
      <c r="L5" s="138">
        <v>114.2</v>
      </c>
      <c r="M5" s="138">
        <v>92.34</v>
      </c>
      <c r="N5" s="138">
        <v>116.22</v>
      </c>
      <c r="O5" s="138">
        <v>109</v>
      </c>
      <c r="P5" s="139">
        <f t="shared" ref="P5:P20" si="0">IF($D5="RHEL", 210, IF(OR($D5="Win VDI", $D5="Win Server", $D5="Win SQL Server"), 240, 10000000)) + IF($D5="Win SQL Server", 200, 30)*$E5 + F5/32*20</f>
        <v>275</v>
      </c>
    </row>
    <row r="6" spans="1:16" s="133" customFormat="1" ht="32.1" customHeight="1" x14ac:dyDescent="0.25">
      <c r="A6" s="147"/>
      <c r="B6" s="104" t="str">
        <f>CONCATENATE("L-",E6,"-",F6)</f>
        <v>L-4-8</v>
      </c>
      <c r="C6" s="91"/>
      <c r="D6" s="91" t="s">
        <v>115</v>
      </c>
      <c r="E6" s="102">
        <v>4</v>
      </c>
      <c r="F6" s="102">
        <v>8</v>
      </c>
      <c r="G6" s="102"/>
      <c r="H6" s="91" t="s">
        <v>123</v>
      </c>
      <c r="I6" s="92" t="s">
        <v>124</v>
      </c>
      <c r="J6" s="92" t="s">
        <v>125</v>
      </c>
      <c r="K6" s="92" t="s">
        <v>126</v>
      </c>
      <c r="L6" s="98">
        <v>184.47</v>
      </c>
      <c r="M6" s="98">
        <v>140.88999999999999</v>
      </c>
      <c r="N6" s="98">
        <v>188.34</v>
      </c>
      <c r="O6" s="98">
        <v>158</v>
      </c>
      <c r="P6" s="99">
        <f t="shared" si="0"/>
        <v>335</v>
      </c>
    </row>
    <row r="7" spans="1:16" s="90" customFormat="1" ht="32.1" customHeight="1" x14ac:dyDescent="0.25">
      <c r="A7" s="147"/>
      <c r="B7" s="104" t="str">
        <f>CONCATENATE("L-",E7,"-",F7)</f>
        <v>L-4-16</v>
      </c>
      <c r="C7" s="91"/>
      <c r="D7" s="91" t="s">
        <v>115</v>
      </c>
      <c r="E7" s="102">
        <v>4</v>
      </c>
      <c r="F7" s="102">
        <v>16</v>
      </c>
      <c r="G7" s="102"/>
      <c r="H7" s="91" t="s">
        <v>123</v>
      </c>
      <c r="I7" s="92" t="s">
        <v>127</v>
      </c>
      <c r="J7" s="92" t="s">
        <v>125</v>
      </c>
      <c r="K7" s="92" t="s">
        <v>128</v>
      </c>
      <c r="L7" s="98">
        <v>184.47</v>
      </c>
      <c r="M7" s="98">
        <v>140.88999999999999</v>
      </c>
      <c r="N7" s="98">
        <v>188.34</v>
      </c>
      <c r="O7" s="98">
        <v>172</v>
      </c>
      <c r="P7" s="99">
        <f t="shared" si="0"/>
        <v>340</v>
      </c>
    </row>
    <row r="8" spans="1:16" s="91" customFormat="1" ht="32.1" customHeight="1" x14ac:dyDescent="0.25">
      <c r="B8" s="134" t="str">
        <f>CONCATENATE("L-",E8,"-",F8)</f>
        <v>L-8-16</v>
      </c>
      <c r="C8" s="135" t="s">
        <v>129</v>
      </c>
      <c r="D8" s="135" t="s">
        <v>115</v>
      </c>
      <c r="E8" s="136">
        <v>8</v>
      </c>
      <c r="F8" s="136">
        <v>16</v>
      </c>
      <c r="G8" s="136"/>
      <c r="H8" s="135" t="s">
        <v>130</v>
      </c>
      <c r="I8" s="137" t="s">
        <v>131</v>
      </c>
      <c r="J8" s="137" t="s">
        <v>132</v>
      </c>
      <c r="K8" s="137" t="s">
        <v>133</v>
      </c>
      <c r="L8" s="138">
        <v>344.04</v>
      </c>
      <c r="M8" s="138">
        <v>289.08</v>
      </c>
      <c r="N8" s="138">
        <v>384.71</v>
      </c>
      <c r="O8" s="138">
        <v>314</v>
      </c>
      <c r="P8" s="139">
        <f t="shared" si="0"/>
        <v>460</v>
      </c>
    </row>
    <row r="9" spans="1:16" s="90" customFormat="1" ht="32.1" customHeight="1" x14ac:dyDescent="0.25">
      <c r="A9" s="147"/>
      <c r="B9" s="108" t="str">
        <f>CONCATENATE("L-",E9,"-",F9)</f>
        <v>L-8-32</v>
      </c>
      <c r="C9" s="109" t="s">
        <v>134</v>
      </c>
      <c r="D9" s="109" t="s">
        <v>115</v>
      </c>
      <c r="E9" s="110">
        <v>8</v>
      </c>
      <c r="F9" s="110">
        <v>32</v>
      </c>
      <c r="G9" s="110"/>
      <c r="H9" s="109" t="s">
        <v>135</v>
      </c>
      <c r="I9" s="111" t="s">
        <v>131</v>
      </c>
      <c r="J9" s="111" t="s">
        <v>132</v>
      </c>
      <c r="K9" s="111" t="s">
        <v>136</v>
      </c>
      <c r="L9" s="112">
        <v>376.25</v>
      </c>
      <c r="M9" s="112">
        <v>289.08</v>
      </c>
      <c r="N9" s="112">
        <v>384.71</v>
      </c>
      <c r="O9" s="112">
        <v>348</v>
      </c>
      <c r="P9" s="113">
        <f t="shared" si="0"/>
        <v>470</v>
      </c>
    </row>
    <row r="10" spans="1:16" s="127" customFormat="1" ht="32.1" customHeight="1" x14ac:dyDescent="0.25">
      <c r="A10" s="147"/>
      <c r="B10" s="104" t="str">
        <f>CONCATENATE("L-",E10,"-",F10)</f>
        <v>L-16-64</v>
      </c>
      <c r="C10" s="91"/>
      <c r="D10" s="91" t="s">
        <v>115</v>
      </c>
      <c r="E10" s="102">
        <v>16</v>
      </c>
      <c r="F10" s="102">
        <v>64</v>
      </c>
      <c r="G10" s="102"/>
      <c r="H10" s="91" t="s">
        <v>137</v>
      </c>
      <c r="I10" s="92" t="s">
        <v>138</v>
      </c>
      <c r="J10" s="92" t="s">
        <v>139</v>
      </c>
      <c r="K10" s="92" t="s">
        <v>140</v>
      </c>
      <c r="L10" s="98">
        <v>657.34</v>
      </c>
      <c r="M10" s="98">
        <v>483.26</v>
      </c>
      <c r="N10" s="98">
        <v>674.52</v>
      </c>
      <c r="O10" s="98">
        <v>603</v>
      </c>
      <c r="P10" s="99">
        <f t="shared" si="0"/>
        <v>730</v>
      </c>
    </row>
    <row r="11" spans="1:16" s="90" customFormat="1" ht="32.1" customHeight="1" x14ac:dyDescent="0.25">
      <c r="A11" s="147"/>
      <c r="B11" s="104" t="str">
        <f t="shared" ref="B11:B16" si="1">CONCATENATE("W-",E11,"-",F11)</f>
        <v>W-2-8</v>
      </c>
      <c r="C11" s="91" t="s">
        <v>141</v>
      </c>
      <c r="D11" s="91" t="s">
        <v>142</v>
      </c>
      <c r="E11" s="102">
        <v>2</v>
      </c>
      <c r="F11" s="102">
        <v>8</v>
      </c>
      <c r="G11" s="102"/>
      <c r="H11" s="91" t="s">
        <v>116</v>
      </c>
      <c r="I11" s="92" t="s">
        <v>117</v>
      </c>
      <c r="J11" s="92" t="s">
        <v>118</v>
      </c>
      <c r="K11" s="92" t="s">
        <v>122</v>
      </c>
      <c r="L11" s="98">
        <v>137.62</v>
      </c>
      <c r="M11" s="98">
        <v>106.94</v>
      </c>
      <c r="N11" s="98">
        <v>78.11</v>
      </c>
      <c r="O11" s="98">
        <v>127.39</v>
      </c>
      <c r="P11" s="99">
        <f t="shared" si="0"/>
        <v>305</v>
      </c>
    </row>
    <row r="12" spans="1:16" s="90" customFormat="1" ht="32.1" customHeight="1" x14ac:dyDescent="0.25">
      <c r="A12" s="147"/>
      <c r="B12" s="104" t="str">
        <f t="shared" si="1"/>
        <v>W-4-8</v>
      </c>
      <c r="C12" s="91" t="s">
        <v>143</v>
      </c>
      <c r="D12" s="91" t="s">
        <v>142</v>
      </c>
      <c r="E12" s="102">
        <v>4</v>
      </c>
      <c r="F12" s="102">
        <v>8</v>
      </c>
      <c r="G12" s="102"/>
      <c r="H12" s="91" t="s">
        <v>144</v>
      </c>
      <c r="I12" s="92" t="s">
        <v>127</v>
      </c>
      <c r="J12" s="92" t="s">
        <v>125</v>
      </c>
      <c r="K12" s="92" t="s">
        <v>126</v>
      </c>
      <c r="L12" s="98">
        <v>259.13</v>
      </c>
      <c r="M12" s="98">
        <v>213.89</v>
      </c>
      <c r="N12" s="98">
        <v>156.22</v>
      </c>
      <c r="O12" s="98">
        <v>229.49</v>
      </c>
      <c r="P12" s="99">
        <f t="shared" si="0"/>
        <v>365</v>
      </c>
    </row>
    <row r="13" spans="1:16" s="90" customFormat="1" ht="32.1" customHeight="1" x14ac:dyDescent="0.25">
      <c r="A13" s="147"/>
      <c r="B13" s="108" t="str">
        <f t="shared" si="1"/>
        <v>W-4-16</v>
      </c>
      <c r="C13" s="109" t="s">
        <v>145</v>
      </c>
      <c r="D13" s="109" t="s">
        <v>146</v>
      </c>
      <c r="E13" s="110">
        <v>4</v>
      </c>
      <c r="F13" s="110">
        <v>16</v>
      </c>
      <c r="G13" s="110"/>
      <c r="H13" s="109" t="s">
        <v>123</v>
      </c>
      <c r="I13" s="111" t="s">
        <v>127</v>
      </c>
      <c r="J13" s="111" t="s">
        <v>125</v>
      </c>
      <c r="K13" s="111" t="s">
        <v>128</v>
      </c>
      <c r="L13" s="112">
        <v>275.24</v>
      </c>
      <c r="M13" s="112">
        <v>213.89</v>
      </c>
      <c r="N13" s="112">
        <v>156.22</v>
      </c>
      <c r="O13" s="112">
        <v>243.49</v>
      </c>
      <c r="P13" s="113">
        <f t="shared" si="0"/>
        <v>370</v>
      </c>
    </row>
    <row r="14" spans="1:16" s="90" customFormat="1" ht="32.1" customHeight="1" x14ac:dyDescent="0.25">
      <c r="A14" s="147"/>
      <c r="B14" s="104" t="str">
        <f t="shared" si="1"/>
        <v>W-8-8</v>
      </c>
      <c r="C14" s="91" t="s">
        <v>147</v>
      </c>
      <c r="D14" s="91" t="s">
        <v>146</v>
      </c>
      <c r="E14" s="102">
        <v>8</v>
      </c>
      <c r="F14" s="102">
        <v>8</v>
      </c>
      <c r="G14" s="102"/>
      <c r="H14" s="91" t="s">
        <v>130</v>
      </c>
      <c r="I14" s="92" t="s">
        <v>131</v>
      </c>
      <c r="J14" s="92" t="s">
        <v>132</v>
      </c>
      <c r="K14" s="92" t="s">
        <v>133</v>
      </c>
      <c r="L14" s="98">
        <v>518.26</v>
      </c>
      <c r="M14" s="98">
        <v>427.78</v>
      </c>
      <c r="N14" s="98">
        <v>313.17</v>
      </c>
      <c r="O14" s="98">
        <v>443.69</v>
      </c>
      <c r="P14" s="99">
        <f t="shared" si="0"/>
        <v>485</v>
      </c>
    </row>
    <row r="15" spans="1:16" s="90" customFormat="1" ht="32.1" customHeight="1" x14ac:dyDescent="0.25">
      <c r="A15" s="147"/>
      <c r="B15" s="108" t="str">
        <f t="shared" si="1"/>
        <v>W-8-16</v>
      </c>
      <c r="C15" s="109" t="s">
        <v>148</v>
      </c>
      <c r="D15" s="109" t="s">
        <v>146</v>
      </c>
      <c r="E15" s="110">
        <v>8</v>
      </c>
      <c r="F15" s="110">
        <v>16</v>
      </c>
      <c r="G15" s="110"/>
      <c r="H15" s="109" t="s">
        <v>130</v>
      </c>
      <c r="I15" s="111" t="s">
        <v>131</v>
      </c>
      <c r="J15" s="111" t="s">
        <v>132</v>
      </c>
      <c r="K15" s="111" t="s">
        <v>133</v>
      </c>
      <c r="L15" s="112">
        <v>518.26</v>
      </c>
      <c r="M15" s="112">
        <v>427.78</v>
      </c>
      <c r="N15" s="112">
        <v>313.17</v>
      </c>
      <c r="O15" s="112">
        <v>443.69</v>
      </c>
      <c r="P15" s="113">
        <f t="shared" si="0"/>
        <v>490</v>
      </c>
    </row>
    <row r="16" spans="1:16" s="90" customFormat="1" ht="32.1" customHeight="1" x14ac:dyDescent="0.25">
      <c r="A16" s="147"/>
      <c r="B16" s="104" t="str">
        <f t="shared" si="1"/>
        <v>W-8-32</v>
      </c>
      <c r="C16" s="91"/>
      <c r="D16" s="91" t="s">
        <v>146</v>
      </c>
      <c r="E16" s="102">
        <v>8</v>
      </c>
      <c r="F16" s="102">
        <v>32</v>
      </c>
      <c r="G16" s="102"/>
      <c r="H16" s="91" t="s">
        <v>135</v>
      </c>
      <c r="I16" s="92" t="s">
        <v>131</v>
      </c>
      <c r="J16" s="92" t="s">
        <v>132</v>
      </c>
      <c r="K16" s="92" t="s">
        <v>136</v>
      </c>
      <c r="L16" s="98">
        <v>550.47</v>
      </c>
      <c r="M16" s="98">
        <v>427.78</v>
      </c>
      <c r="N16" s="98">
        <v>313.17</v>
      </c>
      <c r="O16" s="98">
        <v>477.69</v>
      </c>
      <c r="P16" s="99">
        <f t="shared" si="0"/>
        <v>500</v>
      </c>
    </row>
    <row r="17" spans="1:16" s="132" customFormat="1" ht="32.1" customHeight="1" x14ac:dyDescent="0.25">
      <c r="A17" s="147"/>
      <c r="B17" s="108" t="str">
        <f>CONCATENATE("S-",E17,"-",F17)</f>
        <v>S-4-16</v>
      </c>
      <c r="C17" s="109" t="s">
        <v>149</v>
      </c>
      <c r="D17" s="109" t="s">
        <v>150</v>
      </c>
      <c r="E17" s="110">
        <v>4</v>
      </c>
      <c r="F17" s="110">
        <v>16</v>
      </c>
      <c r="G17" s="110"/>
      <c r="H17" s="109" t="s">
        <v>123</v>
      </c>
      <c r="I17" s="111" t="s">
        <v>127</v>
      </c>
      <c r="J17" s="111" t="s">
        <v>125</v>
      </c>
      <c r="K17" s="111" t="s">
        <v>128</v>
      </c>
      <c r="L17" s="112">
        <v>626.6</v>
      </c>
      <c r="M17" s="112">
        <v>694.23</v>
      </c>
      <c r="N17" s="112">
        <v>448.22</v>
      </c>
      <c r="O17" s="112">
        <v>575.49</v>
      </c>
      <c r="P17" s="113">
        <f t="shared" si="0"/>
        <v>1050</v>
      </c>
    </row>
    <row r="18" spans="1:16" s="90" customFormat="1" ht="32.1" customHeight="1" x14ac:dyDescent="0.25">
      <c r="A18" s="147"/>
      <c r="B18" s="104" t="str">
        <f>CONCATENATE("S-",E18,"-",F18)</f>
        <v>S-8-16</v>
      </c>
      <c r="C18" s="91" t="s">
        <v>151</v>
      </c>
      <c r="D18" s="91" t="s">
        <v>150</v>
      </c>
      <c r="E18" s="102">
        <v>8</v>
      </c>
      <c r="F18" s="102">
        <v>16</v>
      </c>
      <c r="G18" s="102"/>
      <c r="H18" s="91" t="s">
        <v>130</v>
      </c>
      <c r="I18" s="92" t="s">
        <v>131</v>
      </c>
      <c r="J18" s="92" t="s">
        <v>132</v>
      </c>
      <c r="K18" s="92" t="s">
        <v>133</v>
      </c>
      <c r="L18" s="98">
        <v>1220.98</v>
      </c>
      <c r="M18" s="98">
        <v>1388.46</v>
      </c>
      <c r="N18" s="98">
        <v>897.17</v>
      </c>
      <c r="O18" s="98">
        <v>1107.69</v>
      </c>
      <c r="P18" s="99">
        <f t="shared" si="0"/>
        <v>1850</v>
      </c>
    </row>
    <row r="19" spans="1:16" s="131" customFormat="1" ht="32.1" customHeight="1" x14ac:dyDescent="0.25">
      <c r="A19" s="147"/>
      <c r="B19" s="104" t="str">
        <f>CONCATENATE("S-",E19,"-",F19)</f>
        <v>S-8-32</v>
      </c>
      <c r="C19" s="91"/>
      <c r="D19" s="91" t="s">
        <v>150</v>
      </c>
      <c r="E19" s="102">
        <v>8</v>
      </c>
      <c r="F19" s="102">
        <v>32</v>
      </c>
      <c r="G19" s="102"/>
      <c r="H19" s="91" t="s">
        <v>135</v>
      </c>
      <c r="I19" s="92" t="s">
        <v>131</v>
      </c>
      <c r="J19" s="92" t="s">
        <v>132</v>
      </c>
      <c r="K19" s="92" t="s">
        <v>136</v>
      </c>
      <c r="L19" s="98">
        <v>1253.19</v>
      </c>
      <c r="M19" s="98">
        <v>1388.46</v>
      </c>
      <c r="N19" s="98">
        <v>897.17</v>
      </c>
      <c r="O19" s="98">
        <v>1141.69</v>
      </c>
      <c r="P19" s="99">
        <f t="shared" si="0"/>
        <v>1860</v>
      </c>
    </row>
    <row r="20" spans="1:16" s="90" customFormat="1" ht="32.1" customHeight="1" x14ac:dyDescent="0.25">
      <c r="A20" s="147"/>
      <c r="B20" s="104" t="str">
        <f>CONCATENATE("S-",E20,"-",F20)</f>
        <v>S-16-64</v>
      </c>
      <c r="C20" s="91"/>
      <c r="D20" s="91" t="s">
        <v>150</v>
      </c>
      <c r="E20" s="102">
        <v>16</v>
      </c>
      <c r="F20" s="102">
        <v>64</v>
      </c>
      <c r="G20" s="102"/>
      <c r="H20" s="91" t="s">
        <v>137</v>
      </c>
      <c r="I20" s="92" t="s">
        <v>138</v>
      </c>
      <c r="J20" s="92" t="s">
        <v>139</v>
      </c>
      <c r="K20" s="92" t="s">
        <v>140</v>
      </c>
      <c r="L20" s="98">
        <v>2506.37</v>
      </c>
      <c r="M20" s="98">
        <v>2776.92</v>
      </c>
      <c r="N20" s="98">
        <v>1794.34</v>
      </c>
      <c r="O20" s="98">
        <v>2273.09</v>
      </c>
      <c r="P20" s="99">
        <f t="shared" si="0"/>
        <v>3480</v>
      </c>
    </row>
    <row r="21" spans="1:16" s="90" customFormat="1" ht="32.1" customHeight="1" x14ac:dyDescent="0.25">
      <c r="A21" s="147"/>
      <c r="B21" s="104" t="s">
        <v>152</v>
      </c>
      <c r="C21" s="91" t="s">
        <v>153</v>
      </c>
      <c r="D21" s="91" t="s">
        <v>154</v>
      </c>
      <c r="E21" s="91"/>
      <c r="F21" s="91"/>
      <c r="G21" s="91"/>
      <c r="H21" s="91" t="s">
        <v>155</v>
      </c>
      <c r="I21" s="92" t="s">
        <v>156</v>
      </c>
      <c r="J21" s="92" t="s">
        <v>79</v>
      </c>
      <c r="K21" s="92" t="s">
        <v>157</v>
      </c>
      <c r="L21" s="98">
        <v>97</v>
      </c>
      <c r="M21" s="98">
        <v>170</v>
      </c>
      <c r="N21" s="98">
        <v>40.96</v>
      </c>
      <c r="O21" s="98">
        <v>57.14</v>
      </c>
      <c r="P21" s="99">
        <f>4*40</f>
        <v>160</v>
      </c>
    </row>
    <row r="22" spans="1:16" ht="36.950000000000003" customHeight="1" x14ac:dyDescent="0.25">
      <c r="A22" s="89"/>
      <c r="B22" s="147"/>
      <c r="C22" s="147"/>
      <c r="D22" s="147"/>
      <c r="E22" s="147"/>
      <c r="F22" s="147"/>
      <c r="G22" s="147"/>
      <c r="H22" s="147"/>
      <c r="I22" s="94"/>
      <c r="J22" s="94"/>
      <c r="K22" s="94"/>
      <c r="L22" s="95"/>
      <c r="M22" s="95"/>
      <c r="N22" s="95"/>
      <c r="O22" s="95"/>
      <c r="P22" s="147"/>
    </row>
    <row r="23" spans="1:16" s="105" customFormat="1" ht="32.1" customHeight="1" x14ac:dyDescent="0.25">
      <c r="B23" s="134" t="s">
        <v>71</v>
      </c>
      <c r="I23" s="106"/>
      <c r="J23" s="106"/>
      <c r="K23" s="106"/>
      <c r="L23" s="107"/>
      <c r="M23" s="107"/>
      <c r="N23" s="107"/>
      <c r="O23" s="107"/>
    </row>
    <row r="24" spans="1:16" x14ac:dyDescent="0.2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x14ac:dyDescent="0.25">
      <c r="B25" s="9"/>
      <c r="C25" s="9"/>
      <c r="D25" s="9"/>
      <c r="E25" s="9"/>
      <c r="F25" s="9"/>
      <c r="G25" s="9"/>
      <c r="H25" s="9"/>
      <c r="I25" s="87"/>
      <c r="J25" s="87"/>
      <c r="K25" s="87"/>
      <c r="L25" s="88"/>
      <c r="M25" s="88"/>
      <c r="N25" s="88"/>
      <c r="O25" s="88"/>
      <c r="P25" s="9"/>
    </row>
    <row r="26" spans="1:16" ht="32.1" customHeight="1" x14ac:dyDescent="0.25">
      <c r="B26" s="103" t="s">
        <v>158</v>
      </c>
      <c r="C26" s="103" t="s">
        <v>159</v>
      </c>
      <c r="D26" s="103"/>
      <c r="E26" s="103"/>
      <c r="F26" s="126" t="s">
        <v>160</v>
      </c>
      <c r="G26" s="126"/>
      <c r="H26" s="9"/>
      <c r="I26" s="87"/>
      <c r="J26" s="87"/>
      <c r="K26" s="87"/>
      <c r="L26" s="88"/>
      <c r="M26" s="88"/>
      <c r="N26" s="88"/>
      <c r="O26" s="88"/>
      <c r="P26" s="9"/>
    </row>
    <row r="27" spans="1:16" ht="32.1" customHeight="1" x14ac:dyDescent="0.25">
      <c r="B27" s="105" t="s">
        <v>161</v>
      </c>
      <c r="C27" s="117" t="s">
        <v>162</v>
      </c>
      <c r="D27" s="105"/>
      <c r="E27" s="116"/>
      <c r="F27" s="197">
        <v>43851</v>
      </c>
      <c r="G27" s="197"/>
      <c r="H27" s="197"/>
      <c r="I27" s="87"/>
      <c r="J27" s="87"/>
      <c r="K27" s="87"/>
      <c r="L27" s="88"/>
      <c r="M27" s="88"/>
      <c r="N27" s="88"/>
      <c r="O27" s="88"/>
      <c r="P27" s="9"/>
    </row>
    <row r="28" spans="1:16" ht="32.1" customHeight="1" x14ac:dyDescent="0.25">
      <c r="B28" s="105" t="s">
        <v>163</v>
      </c>
      <c r="C28" s="117" t="s">
        <v>164</v>
      </c>
      <c r="D28" s="105"/>
      <c r="E28" s="116"/>
      <c r="F28" s="197">
        <v>43851</v>
      </c>
      <c r="G28" s="197"/>
      <c r="H28" s="197"/>
      <c r="I28" s="87"/>
      <c r="J28" s="87"/>
      <c r="K28" s="87"/>
      <c r="L28" s="88"/>
      <c r="M28" s="88"/>
      <c r="N28" s="88"/>
      <c r="O28" s="88"/>
      <c r="P28" s="9"/>
    </row>
    <row r="29" spans="1:16" ht="32.1" customHeight="1" x14ac:dyDescent="0.25">
      <c r="B29" s="105" t="s">
        <v>165</v>
      </c>
      <c r="C29" s="117" t="s">
        <v>166</v>
      </c>
      <c r="D29" s="105"/>
      <c r="E29" s="116"/>
      <c r="F29" s="197">
        <v>43851</v>
      </c>
      <c r="G29" s="197"/>
      <c r="H29" s="197"/>
      <c r="I29" s="87"/>
      <c r="J29" s="87"/>
      <c r="K29" s="87"/>
      <c r="L29" s="88"/>
      <c r="M29" s="88"/>
      <c r="N29" s="88"/>
      <c r="O29" s="88"/>
      <c r="P29" s="9"/>
    </row>
    <row r="30" spans="1:16" ht="32.1" customHeight="1" x14ac:dyDescent="0.25">
      <c r="B30" s="105" t="s">
        <v>167</v>
      </c>
      <c r="C30" s="176" t="s">
        <v>168</v>
      </c>
      <c r="D30" s="105"/>
      <c r="E30" s="116"/>
      <c r="F30" s="197">
        <v>43851</v>
      </c>
      <c r="G30" s="197"/>
      <c r="H30" s="197"/>
      <c r="I30" s="87"/>
      <c r="J30" s="87"/>
      <c r="K30" s="87"/>
      <c r="L30" s="88"/>
      <c r="M30" s="88"/>
      <c r="N30" s="88"/>
      <c r="O30" s="88"/>
      <c r="P30" s="9"/>
    </row>
    <row r="31" spans="1:16" ht="24" customHeight="1" x14ac:dyDescent="0.25">
      <c r="B31" s="105"/>
      <c r="D31" s="93"/>
      <c r="E31" s="9"/>
      <c r="F31" s="9"/>
      <c r="G31" s="9"/>
      <c r="H31" s="9"/>
      <c r="I31" s="87"/>
      <c r="J31" s="87"/>
      <c r="K31" s="87"/>
      <c r="L31" s="88"/>
      <c r="M31" s="88"/>
      <c r="N31" s="88"/>
      <c r="O31" s="88"/>
      <c r="P31" s="9"/>
    </row>
    <row r="32" spans="1:16" ht="32.1" customHeight="1" x14ac:dyDescent="0.25">
      <c r="B32" s="105"/>
      <c r="C32" s="123"/>
      <c r="D32" s="9"/>
      <c r="E32" s="9"/>
      <c r="F32" s="9"/>
      <c r="G32" s="9"/>
      <c r="H32" s="9"/>
      <c r="I32" s="87"/>
      <c r="J32" s="87"/>
      <c r="K32" s="87"/>
      <c r="L32" s="88"/>
      <c r="M32" s="88"/>
      <c r="N32" s="88"/>
      <c r="O32" s="88"/>
      <c r="P32" s="9"/>
    </row>
    <row r="33" spans="2:16" x14ac:dyDescent="0.25">
      <c r="B33" s="9"/>
      <c r="C33" s="9"/>
      <c r="D33" s="9"/>
      <c r="E33" s="9"/>
      <c r="F33" s="9"/>
      <c r="G33" s="9"/>
      <c r="H33" s="9"/>
      <c r="I33" s="87"/>
      <c r="J33" s="87"/>
      <c r="K33" s="87"/>
      <c r="L33" s="88"/>
      <c r="M33" s="88"/>
      <c r="N33" s="88"/>
      <c r="O33" s="88"/>
      <c r="P33" s="9"/>
    </row>
    <row r="34" spans="2:16" x14ac:dyDescent="0.25">
      <c r="B34" s="105"/>
    </row>
  </sheetData>
  <mergeCells count="4">
    <mergeCell ref="F30:H30"/>
    <mergeCell ref="F29:H29"/>
    <mergeCell ref="F27:H27"/>
    <mergeCell ref="F28:H28"/>
  </mergeCells>
  <phoneticPr fontId="18" type="noConversion"/>
  <hyperlinks>
    <hyperlink ref="C27" r:id="rId1" xr:uid="{00000000-0004-0000-0200-000000000000}"/>
    <hyperlink ref="C28" r:id="rId2" xr:uid="{00000000-0004-0000-0200-000001000000}"/>
    <hyperlink ref="C30" r:id="rId3" xr:uid="{00000000-0004-0000-0200-000002000000}"/>
    <hyperlink ref="C29" r:id="rId4" xr:uid="{00000000-0004-0000-0200-000003000000}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CBBB-4CB9-2949-9960-39EFB67C0B14}">
  <sheetPr>
    <tabColor rgb="FFFD6B21"/>
  </sheetPr>
  <dimension ref="B1:BL97"/>
  <sheetViews>
    <sheetView showGridLines="0" zoomScaleNormal="100" workbookViewId="0">
      <pane ySplit="1" topLeftCell="A2" activePane="bottomLeft" state="frozen"/>
      <selection pane="bottomLeft" activeCell="BD14" sqref="BD14"/>
    </sheetView>
  </sheetViews>
  <sheetFormatPr defaultColWidth="8.85546875" defaultRowHeight="15" outlineLevelCol="1" x14ac:dyDescent="0.25"/>
  <cols>
    <col min="1" max="2" width="3" style="1" customWidth="1"/>
    <col min="3" max="3" width="24.85546875" style="1" customWidth="1"/>
    <col min="4" max="4" width="15" style="1" hidden="1" customWidth="1" outlineLevel="1"/>
    <col min="5" max="5" width="14.42578125" style="1" hidden="1" customWidth="1" outlineLevel="1"/>
    <col min="6" max="6" width="12.42578125" style="1" hidden="1" customWidth="1" outlineLevel="1"/>
    <col min="7" max="7" width="6" style="1" hidden="1" customWidth="1" outlineLevel="1"/>
    <col min="8" max="8" width="14.42578125" style="1" hidden="1" customWidth="1" outlineLevel="1"/>
    <col min="9" max="9" width="14.85546875" style="1" hidden="1" customWidth="1" outlineLevel="1"/>
    <col min="10" max="10" width="6" style="1" hidden="1" customWidth="1" outlineLevel="1"/>
    <col min="11" max="11" width="9.140625" style="1" hidden="1" customWidth="1" outlineLevel="1"/>
    <col min="12" max="12" width="8.85546875" style="1" hidden="1" customWidth="1" outlineLevel="1"/>
    <col min="13" max="13" width="5.85546875" style="4" customWidth="1" collapsed="1"/>
    <col min="14" max="14" width="11.85546875" style="1" customWidth="1"/>
    <col min="15" max="15" width="5.85546875" style="1" customWidth="1"/>
    <col min="16" max="24" width="11.85546875" style="1" hidden="1" customWidth="1"/>
    <col min="25" max="25" width="15.7109375" style="1" hidden="1" customWidth="1" outlineLevel="1"/>
    <col min="26" max="26" width="16.85546875" style="1" hidden="1" customWidth="1" outlineLevel="1"/>
    <col min="27" max="27" width="13.28515625" style="1" hidden="1" customWidth="1" outlineLevel="1"/>
    <col min="28" max="28" width="5.85546875" style="1" hidden="1" customWidth="1" outlineLevel="1"/>
    <col min="29" max="29" width="14.7109375" style="1" hidden="1" customWidth="1" outlineLevel="1"/>
    <col min="30" max="30" width="14.42578125" style="1" hidden="1" customWidth="1" outlineLevel="1"/>
    <col min="31" max="31" width="7.140625" style="1" hidden="1" customWidth="1" outlineLevel="1"/>
    <col min="32" max="32" width="7.7109375" style="1" hidden="1" customWidth="1" outlineLevel="1"/>
    <col min="33" max="33" width="8.7109375" style="1" hidden="1" customWidth="1" outlineLevel="1"/>
    <col min="34" max="34" width="12.140625" style="1" hidden="1" customWidth="1" collapsed="1"/>
    <col min="35" max="41" width="12.140625" style="1" hidden="1" customWidth="1"/>
    <col min="42" max="42" width="13" style="1" hidden="1" customWidth="1" outlineLevel="1"/>
    <col min="43" max="43" width="15.42578125" style="1" hidden="1" customWidth="1" outlineLevel="1"/>
    <col min="44" max="44" width="14.140625" style="1" hidden="1" customWidth="1" outlineLevel="1"/>
    <col min="45" max="45" width="6" style="1" hidden="1" customWidth="1" outlineLevel="1"/>
    <col min="46" max="46" width="13.42578125" style="1" hidden="1" customWidth="1" outlineLevel="1"/>
    <col min="47" max="47" width="14.28515625" style="1" hidden="1" customWidth="1" outlineLevel="1"/>
    <col min="48" max="48" width="8" style="1" hidden="1" customWidth="1" outlineLevel="1"/>
    <col min="49" max="49" width="9.42578125" style="1" hidden="1" customWidth="1" outlineLevel="1"/>
    <col min="50" max="50" width="9" style="1" hidden="1" customWidth="1" outlineLevel="1"/>
    <col min="51" max="51" width="5.7109375" style="1" customWidth="1" collapsed="1"/>
    <col min="52" max="52" width="11.85546875" style="1" customWidth="1"/>
    <col min="53" max="53" width="4.7109375" style="1" customWidth="1"/>
    <col min="54" max="54" width="14.28515625" style="1" customWidth="1"/>
    <col min="55" max="55" width="2.85546875" style="1" customWidth="1"/>
    <col min="56" max="56" width="5.85546875" style="1" customWidth="1"/>
    <col min="57" max="59" width="8.85546875" style="1"/>
    <col min="60" max="60" width="8.85546875" style="1" customWidth="1"/>
    <col min="61" max="16384" width="8.85546875" style="1"/>
  </cols>
  <sheetData>
    <row r="1" spans="2:64" ht="60" customHeight="1" x14ac:dyDescent="0.25">
      <c r="B1" s="8" t="s">
        <v>70</v>
      </c>
      <c r="C1" s="85"/>
      <c r="D1" s="191" t="s">
        <v>169</v>
      </c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</row>
    <row r="2" spans="2:64" ht="11.1" customHeight="1" x14ac:dyDescent="0.25">
      <c r="B2" s="24"/>
      <c r="C2" s="24"/>
      <c r="D2" s="25"/>
      <c r="E2" s="25"/>
      <c r="F2" s="25"/>
      <c r="G2" s="25"/>
      <c r="H2" s="25"/>
      <c r="I2" s="25"/>
      <c r="J2" s="25"/>
      <c r="K2" s="25"/>
      <c r="L2" s="25"/>
      <c r="M2" s="26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0"/>
      <c r="BI2"/>
      <c r="BJ2"/>
      <c r="BK2"/>
      <c r="BL2"/>
    </row>
    <row r="3" spans="2:64" ht="32.1" customHeight="1" x14ac:dyDescent="0.25">
      <c r="B3" s="58"/>
      <c r="C3" s="58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94"/>
      <c r="Z3" s="194"/>
      <c r="AA3" s="194"/>
      <c r="AB3" s="194"/>
      <c r="AC3" s="194"/>
      <c r="AD3" s="194"/>
      <c r="AE3" s="194"/>
      <c r="AF3" s="194"/>
      <c r="AG3" s="194"/>
      <c r="AH3" s="182"/>
      <c r="AI3" s="182"/>
      <c r="AJ3" s="182"/>
      <c r="AK3" s="182"/>
      <c r="AL3" s="182"/>
      <c r="AM3" s="182"/>
      <c r="AN3" s="182"/>
      <c r="AO3" s="182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59"/>
      <c r="BB3" s="198"/>
      <c r="BC3" s="184"/>
      <c r="BD3" s="20"/>
      <c r="BE3" s="103" t="s">
        <v>76</v>
      </c>
      <c r="BF3" s="103"/>
      <c r="BG3" s="103"/>
      <c r="BH3" s="103"/>
      <c r="BI3"/>
      <c r="BJ3"/>
      <c r="BK3"/>
      <c r="BL3"/>
    </row>
    <row r="4" spans="2:64" ht="32.1" customHeight="1" x14ac:dyDescent="0.25">
      <c r="B4" s="50"/>
      <c r="C4" s="51"/>
      <c r="D4" s="52"/>
      <c r="E4" s="52"/>
      <c r="F4" s="52"/>
      <c r="G4" s="52"/>
      <c r="H4" s="51"/>
      <c r="I4" s="51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3"/>
      <c r="AC4" s="54"/>
      <c r="AD4" s="51"/>
      <c r="AE4" s="52"/>
      <c r="AF4" s="55"/>
      <c r="AG4" s="55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  <c r="AT4" s="54"/>
      <c r="AU4" s="54"/>
      <c r="AV4" s="52"/>
      <c r="AW4" s="55"/>
      <c r="AX4" s="55"/>
      <c r="AY4" s="55"/>
      <c r="AZ4" s="56"/>
      <c r="BA4" s="56"/>
      <c r="BB4" s="198"/>
      <c r="BC4" s="184"/>
      <c r="BD4" s="20"/>
      <c r="BE4" s="105" t="s">
        <v>89</v>
      </c>
      <c r="BF4" s="125"/>
      <c r="BG4" s="192" t="s">
        <v>112</v>
      </c>
      <c r="BH4" s="192"/>
      <c r="BI4" s="125"/>
      <c r="BJ4"/>
      <c r="BK4"/>
      <c r="BL4"/>
    </row>
    <row r="5" spans="2:64" ht="24" customHeight="1" x14ac:dyDescent="0.25">
      <c r="B5" s="19"/>
      <c r="C5" s="21"/>
      <c r="D5" s="27"/>
      <c r="E5" s="27"/>
      <c r="F5" s="27"/>
      <c r="G5" s="27"/>
      <c r="H5" s="40"/>
      <c r="I5" s="13"/>
      <c r="J5" s="35"/>
      <c r="K5" s="35"/>
      <c r="L5" s="128"/>
      <c r="M5" s="15"/>
      <c r="N5" s="45"/>
      <c r="O5" s="27"/>
      <c r="P5" s="27"/>
      <c r="Q5" s="27"/>
      <c r="R5" s="27"/>
      <c r="S5" s="27"/>
      <c r="T5" s="27"/>
      <c r="U5" s="27"/>
      <c r="V5" s="27"/>
      <c r="W5" s="27"/>
      <c r="X5" s="27"/>
      <c r="Y5" s="41"/>
      <c r="Z5" s="41"/>
      <c r="AA5" s="41"/>
      <c r="AB5" s="41"/>
      <c r="AC5" s="40"/>
      <c r="AD5" s="43"/>
      <c r="AE5" s="35"/>
      <c r="AF5" s="35"/>
      <c r="AG5" s="1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39"/>
      <c r="AU5" s="13"/>
      <c r="AV5" s="35"/>
      <c r="AW5" s="35"/>
      <c r="AX5" s="17"/>
      <c r="AY5" s="17"/>
      <c r="AZ5" s="27"/>
      <c r="BA5" s="45"/>
      <c r="BB5" s="72"/>
      <c r="BC5" s="72"/>
      <c r="BD5" s="20"/>
      <c r="BE5" s="154"/>
      <c r="BF5" s="154"/>
      <c r="BG5" s="154"/>
      <c r="BH5" s="154"/>
      <c r="BI5" s="154"/>
      <c r="BJ5" s="154"/>
      <c r="BK5"/>
      <c r="BL5"/>
    </row>
    <row r="6" spans="2:64" ht="24" customHeight="1" x14ac:dyDescent="0.25">
      <c r="B6" s="44"/>
      <c r="C6" s="21"/>
      <c r="D6" s="45"/>
      <c r="E6" s="27"/>
      <c r="F6" s="27"/>
      <c r="G6" s="45"/>
      <c r="H6" s="39"/>
      <c r="I6" s="14"/>
      <c r="J6" s="36"/>
      <c r="K6" s="36"/>
      <c r="L6" s="129"/>
      <c r="M6" s="1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7"/>
      <c r="Z6" s="41"/>
      <c r="AA6" s="41"/>
      <c r="AB6" s="47"/>
      <c r="AC6" s="39"/>
      <c r="AD6" s="48"/>
      <c r="AE6" s="36"/>
      <c r="AF6" s="36"/>
      <c r="AG6" s="18"/>
      <c r="AH6" s="45"/>
      <c r="AI6" s="45"/>
      <c r="AJ6" s="45"/>
      <c r="AK6" s="45"/>
      <c r="AL6" s="45"/>
      <c r="AM6" s="45"/>
      <c r="AN6" s="45"/>
      <c r="AO6" s="45"/>
      <c r="AP6" s="45"/>
      <c r="AQ6" s="27"/>
      <c r="AR6" s="27"/>
      <c r="AS6" s="45"/>
      <c r="AT6" s="39"/>
      <c r="AU6" s="14"/>
      <c r="AV6" s="36"/>
      <c r="AW6" s="36"/>
      <c r="AX6" s="18"/>
      <c r="AY6" s="15"/>
      <c r="AZ6" s="45"/>
      <c r="BA6" s="45"/>
      <c r="BB6" s="72"/>
      <c r="BC6" s="72"/>
      <c r="BD6" s="49"/>
      <c r="BE6" s="155"/>
      <c r="BF6" s="155"/>
      <c r="BG6" s="155"/>
      <c r="BH6" s="155"/>
      <c r="BI6" s="124"/>
      <c r="BJ6" s="124"/>
    </row>
    <row r="7" spans="2:64" ht="24" customHeight="1" x14ac:dyDescent="0.25">
      <c r="B7" s="44"/>
      <c r="C7" s="21"/>
      <c r="D7" s="45"/>
      <c r="E7" s="27"/>
      <c r="F7" s="27"/>
      <c r="G7" s="45"/>
      <c r="H7" s="39"/>
      <c r="I7" s="14"/>
      <c r="J7" s="36"/>
      <c r="K7" s="36"/>
      <c r="L7" s="37"/>
      <c r="M7" s="1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7"/>
      <c r="Z7" s="41"/>
      <c r="AA7" s="41"/>
      <c r="AB7" s="47"/>
      <c r="AC7" s="39"/>
      <c r="AD7" s="48"/>
      <c r="AE7" s="36"/>
      <c r="AF7" s="36"/>
      <c r="AG7" s="15"/>
      <c r="AH7" s="45"/>
      <c r="AI7" s="45"/>
      <c r="AJ7" s="45"/>
      <c r="AK7" s="45"/>
      <c r="AL7" s="45"/>
      <c r="AM7" s="45"/>
      <c r="AN7" s="45"/>
      <c r="AO7" s="45"/>
      <c r="AP7" s="45"/>
      <c r="AQ7" s="27"/>
      <c r="AR7" s="27"/>
      <c r="AS7" s="45"/>
      <c r="AT7" s="39"/>
      <c r="AU7" s="14"/>
      <c r="AV7" s="36"/>
      <c r="AW7" s="36"/>
      <c r="AX7" s="15"/>
      <c r="AY7" s="15"/>
      <c r="AZ7" s="45"/>
      <c r="BA7" s="45"/>
      <c r="BB7" s="72"/>
      <c r="BC7" s="72"/>
      <c r="BD7" s="49"/>
      <c r="BE7" s="104"/>
      <c r="BF7" s="154"/>
      <c r="BG7" s="104"/>
      <c r="BH7" s="181"/>
      <c r="BI7" s="124"/>
      <c r="BJ7" s="124"/>
    </row>
    <row r="8" spans="2:64" ht="24" customHeight="1" x14ac:dyDescent="0.25">
      <c r="B8" s="44"/>
      <c r="C8" s="21"/>
      <c r="D8" s="45"/>
      <c r="E8" s="27"/>
      <c r="F8" s="27"/>
      <c r="G8" s="45"/>
      <c r="H8" s="39"/>
      <c r="I8" s="14"/>
      <c r="J8" s="36"/>
      <c r="K8" s="36"/>
      <c r="L8" s="37"/>
      <c r="M8" s="1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7"/>
      <c r="Z8" s="41"/>
      <c r="AA8" s="41"/>
      <c r="AB8" s="47"/>
      <c r="AC8" s="39"/>
      <c r="AD8" s="48"/>
      <c r="AE8" s="36"/>
      <c r="AF8" s="36"/>
      <c r="AG8" s="15"/>
      <c r="AH8" s="45"/>
      <c r="AI8" s="45"/>
      <c r="AJ8" s="45"/>
      <c r="AK8" s="45"/>
      <c r="AL8" s="45"/>
      <c r="AM8" s="45"/>
      <c r="AN8" s="45"/>
      <c r="AO8" s="45"/>
      <c r="AP8" s="45"/>
      <c r="AQ8" s="27"/>
      <c r="AR8" s="27"/>
      <c r="AS8" s="45"/>
      <c r="AT8" s="39"/>
      <c r="AU8" s="14"/>
      <c r="AV8" s="36"/>
      <c r="AW8" s="36"/>
      <c r="AX8" s="15"/>
      <c r="AY8" s="15"/>
      <c r="AZ8" s="45"/>
      <c r="BA8" s="45"/>
      <c r="BB8" s="72"/>
      <c r="BC8" s="72"/>
      <c r="BD8" s="49"/>
      <c r="BE8" s="104"/>
      <c r="BF8" s="154"/>
      <c r="BG8" s="104"/>
      <c r="BH8" s="181"/>
      <c r="BI8" s="124"/>
      <c r="BJ8" s="124"/>
    </row>
    <row r="9" spans="2:64" ht="24" customHeight="1" x14ac:dyDescent="0.25">
      <c r="B9" s="44"/>
      <c r="C9" s="21"/>
      <c r="D9" s="45"/>
      <c r="E9" s="27"/>
      <c r="F9" s="27"/>
      <c r="G9" s="45"/>
      <c r="H9" s="39"/>
      <c r="I9" s="14"/>
      <c r="J9" s="36"/>
      <c r="K9" s="36"/>
      <c r="L9" s="37"/>
      <c r="M9" s="1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7"/>
      <c r="Z9" s="41"/>
      <c r="AA9" s="41"/>
      <c r="AB9" s="47"/>
      <c r="AC9" s="39"/>
      <c r="AD9" s="48"/>
      <c r="AE9" s="36"/>
      <c r="AF9" s="36"/>
      <c r="AG9" s="15"/>
      <c r="AH9" s="45"/>
      <c r="AI9" s="45"/>
      <c r="AJ9" s="45"/>
      <c r="AK9" s="45"/>
      <c r="AL9" s="45"/>
      <c r="AM9" s="45"/>
      <c r="AN9" s="45"/>
      <c r="AO9" s="45"/>
      <c r="AP9" s="45"/>
      <c r="AQ9" s="27"/>
      <c r="AR9" s="27"/>
      <c r="AS9" s="45"/>
      <c r="AT9" s="39"/>
      <c r="AU9" s="14"/>
      <c r="AV9" s="36"/>
      <c r="AW9" s="36"/>
      <c r="AX9" s="15"/>
      <c r="AY9" s="15"/>
      <c r="AZ9" s="45"/>
      <c r="BA9" s="45"/>
      <c r="BB9" s="72"/>
      <c r="BC9" s="72"/>
      <c r="BD9" s="49"/>
      <c r="BE9" s="104"/>
      <c r="BF9" s="154"/>
      <c r="BG9" s="154"/>
      <c r="BH9" s="181"/>
      <c r="BI9" s="124"/>
      <c r="BJ9" s="124"/>
    </row>
    <row r="10" spans="2:64" ht="24" customHeight="1" x14ac:dyDescent="0.25">
      <c r="B10" s="44"/>
      <c r="C10" s="21"/>
      <c r="D10" s="45"/>
      <c r="E10" s="27"/>
      <c r="F10" s="27"/>
      <c r="G10" s="45"/>
      <c r="H10" s="39"/>
      <c r="I10" s="14"/>
      <c r="J10" s="36"/>
      <c r="K10" s="36"/>
      <c r="L10" s="37"/>
      <c r="M10" s="1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7"/>
      <c r="Z10" s="41"/>
      <c r="AA10" s="41"/>
      <c r="AB10" s="47"/>
      <c r="AC10" s="39"/>
      <c r="AD10" s="48"/>
      <c r="AE10" s="36"/>
      <c r="AF10" s="36"/>
      <c r="AG10" s="15"/>
      <c r="AH10" s="45"/>
      <c r="AI10" s="45"/>
      <c r="AJ10" s="45"/>
      <c r="AK10" s="45"/>
      <c r="AL10" s="45"/>
      <c r="AM10" s="45"/>
      <c r="AN10" s="45"/>
      <c r="AO10" s="45"/>
      <c r="AP10" s="45"/>
      <c r="AQ10" s="27"/>
      <c r="AR10" s="27"/>
      <c r="AS10" s="45"/>
      <c r="AT10" s="39"/>
      <c r="AU10" s="14"/>
      <c r="AV10" s="36"/>
      <c r="AW10" s="36"/>
      <c r="AX10" s="15"/>
      <c r="AY10" s="15"/>
      <c r="AZ10" s="45"/>
      <c r="BA10" s="45"/>
      <c r="BB10" s="72"/>
      <c r="BC10" s="72"/>
      <c r="BD10" s="49"/>
      <c r="BE10" s="104"/>
      <c r="BF10" s="154"/>
      <c r="BG10" s="154"/>
      <c r="BH10" s="154"/>
      <c r="BI10" s="124"/>
      <c r="BJ10" s="124"/>
    </row>
    <row r="11" spans="2:64" ht="24" customHeight="1" x14ac:dyDescent="0.25">
      <c r="B11" s="44"/>
      <c r="C11" s="21"/>
      <c r="D11" s="45"/>
      <c r="E11" s="27"/>
      <c r="F11" s="27"/>
      <c r="G11" s="45"/>
      <c r="H11" s="39"/>
      <c r="I11" s="14"/>
      <c r="J11" s="36"/>
      <c r="K11" s="36"/>
      <c r="L11" s="37"/>
      <c r="M11" s="1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7"/>
      <c r="Z11" s="41"/>
      <c r="AA11" s="41"/>
      <c r="AB11" s="47"/>
      <c r="AC11" s="39"/>
      <c r="AD11" s="48"/>
      <c r="AE11" s="36"/>
      <c r="AF11" s="36"/>
      <c r="AG11" s="15"/>
      <c r="AH11" s="45"/>
      <c r="AI11" s="45"/>
      <c r="AJ11" s="45"/>
      <c r="AK11" s="45"/>
      <c r="AL11" s="45"/>
      <c r="AM11" s="45"/>
      <c r="AN11" s="45"/>
      <c r="AO11" s="45"/>
      <c r="AP11" s="45"/>
      <c r="AQ11" s="27"/>
      <c r="AR11" s="27"/>
      <c r="AS11" s="45"/>
      <c r="AT11" s="39"/>
      <c r="AU11" s="14"/>
      <c r="AV11" s="36"/>
      <c r="AW11" s="36"/>
      <c r="AX11" s="15"/>
      <c r="AY11" s="15"/>
      <c r="AZ11" s="45"/>
      <c r="BA11" s="45"/>
      <c r="BB11" s="72"/>
      <c r="BC11" s="72"/>
      <c r="BD11" s="49"/>
      <c r="BE11" s="155"/>
      <c r="BF11" s="155"/>
      <c r="BG11" s="155"/>
      <c r="BH11" s="155"/>
      <c r="BI11" s="124"/>
      <c r="BJ11" s="124"/>
    </row>
    <row r="12" spans="2:64" ht="24" customHeight="1" x14ac:dyDescent="0.25">
      <c r="B12" s="19"/>
      <c r="C12" s="23"/>
      <c r="D12" s="27"/>
      <c r="E12" s="27"/>
      <c r="F12" s="27"/>
      <c r="G12" s="27"/>
      <c r="H12" s="40"/>
      <c r="I12" s="13"/>
      <c r="J12" s="35"/>
      <c r="K12" s="35"/>
      <c r="L12" s="38"/>
      <c r="M12" s="16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41"/>
      <c r="Z12" s="41"/>
      <c r="AA12" s="41"/>
      <c r="AB12" s="41"/>
      <c r="AC12" s="40"/>
      <c r="AD12" s="43"/>
      <c r="AE12" s="35"/>
      <c r="AF12" s="35"/>
      <c r="AG12" s="16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39"/>
      <c r="AU12" s="13"/>
      <c r="AV12" s="35"/>
      <c r="AW12" s="35"/>
      <c r="AX12" s="16"/>
      <c r="AY12" s="16"/>
      <c r="AZ12" s="27"/>
      <c r="BA12" s="45"/>
      <c r="BB12" s="72"/>
      <c r="BC12" s="72"/>
      <c r="BD12" s="20"/>
      <c r="BE12" s="104"/>
      <c r="BF12" s="154"/>
      <c r="BG12" s="154"/>
      <c r="BH12" s="181"/>
      <c r="BI12" s="124"/>
      <c r="BJ12" s="124"/>
    </row>
    <row r="13" spans="2:64" ht="24" customHeight="1" x14ac:dyDescent="0.25">
      <c r="B13" s="76"/>
      <c r="C13" s="66"/>
      <c r="D13" s="67"/>
      <c r="E13" s="67"/>
      <c r="F13" s="67"/>
      <c r="G13" s="67"/>
      <c r="H13" s="68"/>
      <c r="I13" s="68"/>
      <c r="J13" s="68"/>
      <c r="K13" s="68"/>
      <c r="L13" s="67"/>
      <c r="M13" s="68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9"/>
      <c r="Z13" s="69"/>
      <c r="AA13" s="69"/>
      <c r="AB13" s="69"/>
      <c r="AC13" s="68"/>
      <c r="AD13" s="68"/>
      <c r="AE13" s="68"/>
      <c r="AF13" s="68"/>
      <c r="AG13" s="68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8"/>
      <c r="AU13" s="68"/>
      <c r="AV13" s="68"/>
      <c r="AW13" s="68"/>
      <c r="AX13" s="68"/>
      <c r="AY13" s="68"/>
      <c r="AZ13" s="67"/>
      <c r="BA13" s="57"/>
      <c r="BB13" s="71"/>
      <c r="BC13" s="71"/>
      <c r="BD13" s="20"/>
      <c r="BE13" s="104"/>
      <c r="BF13" s="154"/>
      <c r="BG13" s="154"/>
      <c r="BH13" s="181"/>
      <c r="BI13" s="124"/>
      <c r="BJ13" s="124"/>
    </row>
    <row r="14" spans="2:64" ht="24.95" customHeight="1" x14ac:dyDescent="0.25">
      <c r="B14" s="77"/>
      <c r="C14" s="29"/>
      <c r="D14" s="31"/>
      <c r="E14" s="31"/>
      <c r="F14" s="31"/>
      <c r="G14" s="31"/>
      <c r="H14" s="30"/>
      <c r="I14" s="30"/>
      <c r="J14" s="30"/>
      <c r="K14" s="30"/>
      <c r="L14" s="30"/>
      <c r="M14" s="30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42"/>
      <c r="Z14" s="42"/>
      <c r="AA14" s="42"/>
      <c r="AB14" s="42"/>
      <c r="AC14" s="30"/>
      <c r="AD14" s="30"/>
      <c r="AE14" s="30"/>
      <c r="AF14" s="30"/>
      <c r="AG14" s="30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0"/>
      <c r="AU14" s="30"/>
      <c r="AV14" s="30"/>
      <c r="AW14" s="30"/>
      <c r="AX14" s="30"/>
      <c r="AY14" s="30"/>
      <c r="AZ14" s="31"/>
      <c r="BA14" s="70"/>
      <c r="BB14" s="73"/>
      <c r="BC14" s="73"/>
      <c r="BD14" s="20"/>
      <c r="BE14" s="104"/>
      <c r="BF14" s="154"/>
      <c r="BG14" s="154"/>
      <c r="BH14" s="181"/>
      <c r="BI14" s="124"/>
      <c r="BJ14" s="124"/>
    </row>
    <row r="15" spans="2:64" ht="39.950000000000003" customHeight="1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12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63"/>
      <c r="BC15" s="63"/>
      <c r="BD15" s="20"/>
      <c r="BE15" s="104"/>
      <c r="BF15" s="154"/>
      <c r="BG15" s="154"/>
      <c r="BH15" s="181"/>
      <c r="BI15" s="124"/>
      <c r="BJ15" s="124"/>
    </row>
    <row r="16" spans="2:64" ht="32.1" customHeight="1" x14ac:dyDescent="0.25">
      <c r="B16" s="60"/>
      <c r="C16" s="183" t="s">
        <v>170</v>
      </c>
      <c r="D16" s="194" t="s">
        <v>171</v>
      </c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94" t="s">
        <v>73</v>
      </c>
      <c r="Z16" s="194"/>
      <c r="AA16" s="194"/>
      <c r="AB16" s="194"/>
      <c r="AC16" s="194"/>
      <c r="AD16" s="194"/>
      <c r="AE16" s="194"/>
      <c r="AF16" s="194"/>
      <c r="AG16" s="194"/>
      <c r="AH16" s="182"/>
      <c r="AI16" s="182"/>
      <c r="AJ16" s="182"/>
      <c r="AK16" s="182"/>
      <c r="AL16" s="182"/>
      <c r="AM16" s="182"/>
      <c r="AN16" s="182"/>
      <c r="AO16" s="182"/>
      <c r="AP16" s="194" t="s">
        <v>74</v>
      </c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83"/>
      <c r="BB16" s="198" t="s">
        <v>75</v>
      </c>
      <c r="BC16" s="184"/>
      <c r="BD16" s="9"/>
      <c r="BE16" s="105"/>
      <c r="BF16"/>
      <c r="BG16"/>
      <c r="BH16" s="181"/>
    </row>
    <row r="17" spans="2:60" ht="32.1" customHeight="1" x14ac:dyDescent="0.25">
      <c r="B17" s="78"/>
      <c r="C17" s="54" t="s">
        <v>77</v>
      </c>
      <c r="D17" s="52" t="s">
        <v>80</v>
      </c>
      <c r="E17" s="52" t="s">
        <v>83</v>
      </c>
      <c r="F17" s="52" t="s">
        <v>84</v>
      </c>
      <c r="G17" s="54"/>
      <c r="H17" s="54" t="s">
        <v>78</v>
      </c>
      <c r="I17" s="51" t="s">
        <v>85</v>
      </c>
      <c r="J17" s="51" t="s">
        <v>86</v>
      </c>
      <c r="K17" s="52" t="s">
        <v>87</v>
      </c>
      <c r="L17" s="52" t="s">
        <v>79</v>
      </c>
      <c r="M17" s="52" t="s">
        <v>81</v>
      </c>
      <c r="N17" s="52" t="s">
        <v>82</v>
      </c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2" t="s">
        <v>80</v>
      </c>
      <c r="Z17" s="52" t="s">
        <v>83</v>
      </c>
      <c r="AA17" s="52" t="s">
        <v>84</v>
      </c>
      <c r="AB17" s="54"/>
      <c r="AC17" s="54" t="s">
        <v>78</v>
      </c>
      <c r="AD17" s="54" t="s">
        <v>85</v>
      </c>
      <c r="AE17" s="52" t="s">
        <v>86</v>
      </c>
      <c r="AF17" s="55" t="s">
        <v>87</v>
      </c>
      <c r="AG17" s="55" t="s">
        <v>79</v>
      </c>
      <c r="AH17" s="54"/>
      <c r="AI17" s="54"/>
      <c r="AJ17" s="54"/>
      <c r="AK17" s="54"/>
      <c r="AL17" s="54"/>
      <c r="AM17" s="54"/>
      <c r="AN17" s="54"/>
      <c r="AO17" s="54"/>
      <c r="AP17" s="52" t="s">
        <v>80</v>
      </c>
      <c r="AQ17" s="52" t="s">
        <v>83</v>
      </c>
      <c r="AR17" s="52" t="s">
        <v>84</v>
      </c>
      <c r="AS17" s="54"/>
      <c r="AT17" s="51" t="s">
        <v>78</v>
      </c>
      <c r="AU17" s="54" t="s">
        <v>85</v>
      </c>
      <c r="AV17" s="52" t="s">
        <v>86</v>
      </c>
      <c r="AW17" s="55" t="s">
        <v>87</v>
      </c>
      <c r="AX17" s="55" t="s">
        <v>79</v>
      </c>
      <c r="AY17" s="55" t="s">
        <v>81</v>
      </c>
      <c r="AZ17" s="55" t="s">
        <v>82</v>
      </c>
      <c r="BA17" s="61"/>
      <c r="BB17" s="198"/>
      <c r="BC17" s="184"/>
      <c r="BD17" s="9"/>
    </row>
    <row r="18" spans="2:60" ht="24" customHeight="1" x14ac:dyDescent="0.25">
      <c r="B18" s="20"/>
      <c r="C18" s="21" t="s">
        <v>172</v>
      </c>
      <c r="D18" s="28">
        <f>SUM(E18:F18)</f>
        <v>2974.68</v>
      </c>
      <c r="E18" s="27">
        <f>VLOOKUP($H18,'Hardware costs'!$B$4:$W$21,MATCH($BG$4,'Hardware costs'!$B$3:$W$3, 0),FALSE) * 12</f>
        <v>2566.6799999999998</v>
      </c>
      <c r="F18" s="27">
        <f>L18/1000*VLOOKUP("HDD-1TB",'Hardware costs'!$B$4:$W$21,MATCH($BG$4,'Hardware costs'!$B$3:$W$3, 0),FALSE) * 12</f>
        <v>408</v>
      </c>
      <c r="G18" s="11"/>
      <c r="H18" s="40" t="s">
        <v>173</v>
      </c>
      <c r="I18" s="43" t="str">
        <f>VLOOKUP($H18,'Hardware costs'!$B$4:$N$21,3,FALSE)</f>
        <v>Win VDI</v>
      </c>
      <c r="J18" s="43">
        <f>VLOOKUP($H18,'Hardware costs'!$B$4:$N$21,4,FALSE)</f>
        <v>4</v>
      </c>
      <c r="K18" s="43">
        <f>VLOOKUP($H18,'Hardware costs'!$B$4:$N$21,5,FALSE)</f>
        <v>8</v>
      </c>
      <c r="L18" s="33" t="s">
        <v>174</v>
      </c>
      <c r="M18" s="15">
        <v>1</v>
      </c>
      <c r="N18" s="27">
        <f>M18*D18</f>
        <v>2974.68</v>
      </c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7">
        <f>Z18+AA18</f>
        <v>2974.68</v>
      </c>
      <c r="Z18" s="41">
        <f>VLOOKUP($AC18,'Hardware costs'!$B$4:$W$21,MATCH($BG$4,'Hardware costs'!$B$3:$W$3, 0),FALSE) * 12</f>
        <v>2566.6799999999998</v>
      </c>
      <c r="AA18" s="41">
        <f>AG18/1000*VLOOKUP("HDD-1TB",'Hardware costs'!$B$4:$W$21,MATCH($BG$4,'Hardware costs'!$B$3:$W$3, 0),FALSE) * 12</f>
        <v>408</v>
      </c>
      <c r="AB18" s="11"/>
      <c r="AC18" s="40" t="s">
        <v>173</v>
      </c>
      <c r="AD18" s="13" t="str">
        <f>VLOOKUP($AC18,'Hardware costs'!$B$4:$N$21,3,FALSE)</f>
        <v>Win VDI</v>
      </c>
      <c r="AE18" s="35">
        <f>VLOOKUP($AC18,'Hardware costs'!$B$4:$N$21,4,FALSE)</f>
        <v>4</v>
      </c>
      <c r="AF18" s="35">
        <f>VLOOKUP($AC18,'Hardware costs'!$B$4:$N$21,5,FALSE)</f>
        <v>8</v>
      </c>
      <c r="AG18" s="33" t="s">
        <v>174</v>
      </c>
      <c r="AH18" s="22"/>
      <c r="AI18" s="22"/>
      <c r="AJ18" s="22"/>
      <c r="AK18" s="22"/>
      <c r="AL18" s="22"/>
      <c r="AM18" s="22"/>
      <c r="AN18" s="22"/>
      <c r="AO18" s="22"/>
      <c r="AP18" s="27">
        <f>AQ18+AR18</f>
        <v>2974.68</v>
      </c>
      <c r="AQ18" s="27">
        <f>VLOOKUP($AT18,'Hardware costs'!$B$4:$W$21,MATCH($BG$4,'Hardware costs'!$B$3:$W$3, 0),FALSE) * 12</f>
        <v>2566.6799999999998</v>
      </c>
      <c r="AR18" s="27">
        <f>AX18/1000*VLOOKUP("HDD-1TB",'Hardware costs'!$B$4:$W$21,MATCH($BG$4,'Hardware costs'!$B$3:$W$3, 0),FALSE) * 12</f>
        <v>408</v>
      </c>
      <c r="AS18" s="11"/>
      <c r="AT18" s="65" t="s">
        <v>173</v>
      </c>
      <c r="AU18" s="13" t="str">
        <f>VLOOKUP($AT18,'Hardware costs'!$B$4:$N$21,3,FALSE)</f>
        <v>Win VDI</v>
      </c>
      <c r="AV18" s="35">
        <f>VLOOKUP($AT18,'Hardware costs'!$B$4:$N$21,4,FALSE)</f>
        <v>4</v>
      </c>
      <c r="AW18" s="35">
        <f>VLOOKUP($AT18,'Hardware costs'!$B$4:$N$21,5,FALSE)</f>
        <v>8</v>
      </c>
      <c r="AX18" s="33" t="s">
        <v>174</v>
      </c>
      <c r="AY18" s="17">
        <f>1*(1+IF($BH$9="Yes",1,0)+IF($BH$14="Yes",1,0)+IF($BH$16="Yes",1,0))</f>
        <v>1</v>
      </c>
      <c r="AZ18" s="27">
        <f>AY18*AP18</f>
        <v>2974.68</v>
      </c>
      <c r="BA18" s="22"/>
      <c r="BB18" s="72">
        <f>N18+AZ18</f>
        <v>5949.36</v>
      </c>
      <c r="BC18" s="72"/>
      <c r="BD18" s="9"/>
    </row>
    <row r="19" spans="2:60" ht="24" customHeight="1" x14ac:dyDescent="0.25">
      <c r="B19" s="20"/>
      <c r="C19" s="21" t="s">
        <v>175</v>
      </c>
      <c r="D19" s="28">
        <f>SUM(E19:F19)</f>
        <v>17477.52</v>
      </c>
      <c r="E19" s="27">
        <f>VLOOKUP($H19,'Hardware costs'!$B$4:$W$21,MATCH($BG$4,'Hardware costs'!$B$3:$W$3, 0),FALSE) * 12</f>
        <v>16661.52</v>
      </c>
      <c r="F19" s="27">
        <f>L19/1000*VLOOKUP("HDD-1TB",'Hardware costs'!$B$4:$W$21,MATCH($BG$4,'Hardware costs'!$B$3:$W$3, 0),FALSE) * 12</f>
        <v>816</v>
      </c>
      <c r="G19" s="11"/>
      <c r="H19" s="40" t="s">
        <v>176</v>
      </c>
      <c r="I19" s="43" t="str">
        <f>VLOOKUP($H19,'Hardware costs'!$B$4:$N$21,3,FALSE)</f>
        <v>Win SQL Server</v>
      </c>
      <c r="J19" s="43">
        <f>VLOOKUP($H19,'Hardware costs'!$B$4:$N$21,4,FALSE)</f>
        <v>8</v>
      </c>
      <c r="K19" s="43">
        <f>VLOOKUP($H19,'Hardware costs'!$B$4:$N$21,5,FALSE)</f>
        <v>16</v>
      </c>
      <c r="L19" s="46" t="s">
        <v>177</v>
      </c>
      <c r="M19" s="15">
        <f>M18</f>
        <v>1</v>
      </c>
      <c r="N19" s="27">
        <f>M19*D19</f>
        <v>17477.52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7">
        <f>Z19+AA19</f>
        <v>17477.52</v>
      </c>
      <c r="Z19" s="41">
        <f>VLOOKUP($AC19,'Hardware costs'!$B$4:$W$21,MATCH($BG$4,'Hardware costs'!$B$3:$W$3, 0),FALSE) * 12</f>
        <v>16661.52</v>
      </c>
      <c r="AA19" s="41">
        <f>AG19/1000*VLOOKUP("HDD-1TB",'Hardware costs'!$B$4:$W$21,MATCH($BG$4,'Hardware costs'!$B$3:$W$3, 0),FALSE) * 12</f>
        <v>816</v>
      </c>
      <c r="AB19" s="11"/>
      <c r="AC19" s="40" t="s">
        <v>176</v>
      </c>
      <c r="AD19" s="13" t="str">
        <f>VLOOKUP($AC19,'Hardware costs'!$B$4:$N$21,3,FALSE)</f>
        <v>Win SQL Server</v>
      </c>
      <c r="AE19" s="36">
        <f>VLOOKUP($AC19,'Hardware costs'!$B$4:$N$21,4,FALSE)</f>
        <v>8</v>
      </c>
      <c r="AF19" s="36">
        <f>VLOOKUP($AC19,'Hardware costs'!$B$4:$N$21,5,FALSE)</f>
        <v>16</v>
      </c>
      <c r="AG19" s="46" t="s">
        <v>177</v>
      </c>
      <c r="AH19" s="22"/>
      <c r="AI19" s="22"/>
      <c r="AJ19" s="22"/>
      <c r="AK19" s="22"/>
      <c r="AL19" s="22"/>
      <c r="AM19" s="22"/>
      <c r="AN19" s="22"/>
      <c r="AO19" s="22"/>
      <c r="AP19" s="27">
        <f>AQ19+AR19</f>
        <v>17477.52</v>
      </c>
      <c r="AQ19" s="27">
        <f>VLOOKUP($AT19,'Hardware costs'!$B$4:$W$21,MATCH($BG$4,'Hardware costs'!$B$3:$W$3, 0),FALSE) * 12</f>
        <v>16661.52</v>
      </c>
      <c r="AR19" s="27">
        <f>AX19/1000*VLOOKUP("HDD-1TB",'Hardware costs'!$B$4:$W$21,MATCH($BG$4,'Hardware costs'!$B$3:$W$3, 0),FALSE) * 12</f>
        <v>816</v>
      </c>
      <c r="AS19" s="11"/>
      <c r="AT19" s="65" t="s">
        <v>176</v>
      </c>
      <c r="AU19" s="13" t="str">
        <f>VLOOKUP($AT19,'Hardware costs'!$B$4:$N$21,3,FALSE)</f>
        <v>Win SQL Server</v>
      </c>
      <c r="AV19" s="36">
        <f>VLOOKUP($AT19,'Hardware costs'!$B$4:$N$21,4,FALSE)</f>
        <v>8</v>
      </c>
      <c r="AW19" s="36">
        <f>VLOOKUP($AT19,'Hardware costs'!$B$4:$N$21,5,FALSE)</f>
        <v>16</v>
      </c>
      <c r="AX19" s="46" t="s">
        <v>177</v>
      </c>
      <c r="AY19" s="17">
        <f>1*(1+IF($BH$9="Yes",1,0)+IF($BH$14="Yes",1,0)+IF($BH$16="Yes",1,0))</f>
        <v>1</v>
      </c>
      <c r="AZ19" s="27">
        <f>AY19*AP19</f>
        <v>17477.52</v>
      </c>
      <c r="BA19" s="22"/>
      <c r="BB19" s="72">
        <f t="shared" ref="BB19:BB21" si="0">N19+AZ19</f>
        <v>34955.040000000001</v>
      </c>
      <c r="BC19" s="72"/>
      <c r="BD19" s="9"/>
      <c r="BE19" s="9"/>
    </row>
    <row r="20" spans="2:60" ht="24" customHeight="1" x14ac:dyDescent="0.25">
      <c r="B20" s="20"/>
      <c r="C20" s="23" t="s">
        <v>178</v>
      </c>
      <c r="D20" s="28">
        <f>SUM(E20:F20)</f>
        <v>2974.68</v>
      </c>
      <c r="E20" s="27">
        <f>VLOOKUP($H20,'Hardware costs'!$B$4:$W$21,MATCH($BG$4,'Hardware costs'!$B$3:$W$3, 0),FALSE) * 12</f>
        <v>2566.6799999999998</v>
      </c>
      <c r="F20" s="27">
        <f>L20/1000*VLOOKUP("HDD-1TB",'Hardware costs'!$B$4:$W$21,MATCH($BG$4,'Hardware costs'!$B$3:$W$3, 0),FALSE) * 12</f>
        <v>408</v>
      </c>
      <c r="G20" s="11"/>
      <c r="H20" s="40" t="s">
        <v>96</v>
      </c>
      <c r="I20" s="62" t="str">
        <f>VLOOKUP($H20,'Hardware costs'!$B$4:$N$21,3,FALSE)</f>
        <v>Win Server</v>
      </c>
      <c r="J20" s="43">
        <f>VLOOKUP($H20,'Hardware costs'!$B$4:$N$21,4,FALSE)</f>
        <v>4</v>
      </c>
      <c r="K20" s="43">
        <f>VLOOKUP($H20,'Hardware costs'!$B$4:$N$21,5,FALSE)</f>
        <v>16</v>
      </c>
      <c r="L20" s="34" t="s">
        <v>174</v>
      </c>
      <c r="M20" s="38">
        <v>1</v>
      </c>
      <c r="N20" s="27">
        <f>M20*D20</f>
        <v>2974.68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7">
        <f>Z20+AA20</f>
        <v>2974.68</v>
      </c>
      <c r="Z20" s="41">
        <f>VLOOKUP($AC20,'Hardware costs'!$B$4:$W$21,MATCH($BG$4,'Hardware costs'!$B$3:$W$3, 0),FALSE) * 12</f>
        <v>2566.6799999999998</v>
      </c>
      <c r="AA20" s="41">
        <f>AG20/1000*VLOOKUP("HDD-1TB",'Hardware costs'!$B$4:$W$21,MATCH($BG$4,'Hardware costs'!$B$3:$W$3, 0),FALSE) * 12</f>
        <v>408</v>
      </c>
      <c r="AB20" s="11"/>
      <c r="AC20" s="40" t="s">
        <v>96</v>
      </c>
      <c r="AD20" s="64" t="str">
        <f>VLOOKUP($AC20,'Hardware costs'!$B$4:$N$21,3,FALSE)</f>
        <v>Win Server</v>
      </c>
      <c r="AE20" s="36">
        <f>VLOOKUP($AC20,'Hardware costs'!$B$4:$N$21,4,FALSE)</f>
        <v>4</v>
      </c>
      <c r="AF20" s="36">
        <f>VLOOKUP($AC20,'Hardware costs'!$B$4:$N$21,5,FALSE)</f>
        <v>16</v>
      </c>
      <c r="AG20" s="34" t="s">
        <v>174</v>
      </c>
      <c r="AH20" s="22"/>
      <c r="AI20" s="22"/>
      <c r="AJ20" s="22"/>
      <c r="AK20" s="22"/>
      <c r="AL20" s="22"/>
      <c r="AM20" s="22"/>
      <c r="AN20" s="22"/>
      <c r="AO20" s="22"/>
      <c r="AP20" s="27">
        <f>AQ20+AR20</f>
        <v>2974.68</v>
      </c>
      <c r="AQ20" s="27">
        <f>VLOOKUP($AT20,'Hardware costs'!$B$4:$W$21,MATCH($BG$4,'Hardware costs'!$B$3:$W$3, 0),FALSE) * 12</f>
        <v>2566.6799999999998</v>
      </c>
      <c r="AR20" s="27">
        <f>AX20/1000*VLOOKUP("HDD-1TB",'Hardware costs'!$B$4:$W$21,MATCH($BG$4,'Hardware costs'!$B$3:$W$3, 0),FALSE) * 12</f>
        <v>408</v>
      </c>
      <c r="AS20" s="11"/>
      <c r="AT20" s="65" t="s">
        <v>96</v>
      </c>
      <c r="AU20" s="64" t="str">
        <f>VLOOKUP($AT20,'Hardware costs'!$B$4:$N$21,3,FALSE)</f>
        <v>Win Server</v>
      </c>
      <c r="AV20" s="35">
        <f>VLOOKUP($AT20,'Hardware costs'!$B$4:$N$21,4,FALSE)</f>
        <v>4</v>
      </c>
      <c r="AW20" s="35">
        <f>VLOOKUP($AT20,'Hardware costs'!$B$4:$N$21,5,FALSE)</f>
        <v>16</v>
      </c>
      <c r="AX20" s="34" t="s">
        <v>174</v>
      </c>
      <c r="AY20" s="17">
        <f>1*(1+IF($BH$9="Yes",1,0)+IF($BH$14="Yes",1,0)+IF($BH$16="Yes",1,0))</f>
        <v>1</v>
      </c>
      <c r="AZ20" s="27">
        <f>AY20*AP20</f>
        <v>2974.68</v>
      </c>
      <c r="BA20" s="22"/>
      <c r="BB20" s="72">
        <f t="shared" si="0"/>
        <v>5949.36</v>
      </c>
      <c r="BC20" s="72"/>
      <c r="BD20" s="9"/>
      <c r="BE20" s="9"/>
    </row>
    <row r="21" spans="2:60" ht="24" customHeight="1" x14ac:dyDescent="0.25">
      <c r="B21" s="20"/>
      <c r="C21" s="23" t="s">
        <v>179</v>
      </c>
      <c r="D21" s="28">
        <f>SUM(E21:F21)</f>
        <v>2668.68</v>
      </c>
      <c r="E21" s="27">
        <f>VLOOKUP($H21,'Hardware costs'!$B$4:$W$21,MATCH($BG$4,'Hardware costs'!$B$3:$W$3, 0),FALSE) * 12</f>
        <v>2566.6799999999998</v>
      </c>
      <c r="F21" s="27">
        <f>L21/1000*VLOOKUP("HDD-1TB",'Hardware costs'!$B$4:$W$21,MATCH($BG$4,'Hardware costs'!$B$3:$W$3, 0),FALSE) * 12</f>
        <v>102</v>
      </c>
      <c r="G21" s="11"/>
      <c r="H21" s="40" t="s">
        <v>173</v>
      </c>
      <c r="I21" s="62" t="str">
        <f>VLOOKUP($H21,'Hardware costs'!$B$4:$N$21,3,FALSE)</f>
        <v>Win VDI</v>
      </c>
      <c r="J21" s="43">
        <f>VLOOKUP($H21,'Hardware costs'!$B$4:$N$21,4,FALSE)</f>
        <v>4</v>
      </c>
      <c r="K21" s="43">
        <f>VLOOKUP($H21,'Hardware costs'!$B$4:$N$21,5,FALSE)</f>
        <v>8</v>
      </c>
      <c r="L21" s="34" t="s">
        <v>180</v>
      </c>
      <c r="M21" s="37">
        <v>1</v>
      </c>
      <c r="N21" s="27">
        <f>M21*D21</f>
        <v>2668.68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7">
        <f>Z21+AA21</f>
        <v>2668.68</v>
      </c>
      <c r="Z21" s="41">
        <f>VLOOKUP($AC21,'Hardware costs'!$B$4:$W$21,MATCH($BG$4,'Hardware costs'!$B$3:$W$3, 0),FALSE) * 12</f>
        <v>2566.6799999999998</v>
      </c>
      <c r="AA21" s="41">
        <f>AG21/1000*VLOOKUP("HDD-1TB",'Hardware costs'!$B$4:$W$21,MATCH($BG$4,'Hardware costs'!$B$3:$W$3, 0),FALSE) * 12</f>
        <v>102</v>
      </c>
      <c r="AB21" s="11"/>
      <c r="AC21" s="40" t="s">
        <v>173</v>
      </c>
      <c r="AD21" s="64" t="str">
        <f>VLOOKUP($AC21,'Hardware costs'!$B$4:$N$21,3,FALSE)</f>
        <v>Win VDI</v>
      </c>
      <c r="AE21" s="35">
        <f>VLOOKUP($AC21,'Hardware costs'!$B$4:$N$21,4,FALSE)</f>
        <v>4</v>
      </c>
      <c r="AF21" s="35">
        <f>VLOOKUP($AC21,'Hardware costs'!$B$4:$N$21,5,FALSE)</f>
        <v>8</v>
      </c>
      <c r="AG21" s="34" t="s">
        <v>180</v>
      </c>
      <c r="AH21" s="22"/>
      <c r="AI21" s="22"/>
      <c r="AJ21" s="22"/>
      <c r="AK21" s="22"/>
      <c r="AL21" s="22"/>
      <c r="AM21" s="22"/>
      <c r="AN21" s="22"/>
      <c r="AO21" s="22"/>
      <c r="AP21" s="27">
        <f>AQ21+AR21</f>
        <v>2668.68</v>
      </c>
      <c r="AQ21" s="27">
        <f>VLOOKUP($AT21,'Hardware costs'!$B$4:$W$21,MATCH($BG$4,'Hardware costs'!$B$3:$W$3, 0),FALSE) * 12</f>
        <v>2566.6799999999998</v>
      </c>
      <c r="AR21" s="27">
        <f>AX21/1000*VLOOKUP("HDD-1TB",'Hardware costs'!$B$4:$W$21,MATCH($BG$4,'Hardware costs'!$B$3:$W$3, 0),FALSE) * 12</f>
        <v>102</v>
      </c>
      <c r="AS21" s="11"/>
      <c r="AT21" s="65" t="s">
        <v>173</v>
      </c>
      <c r="AU21" s="64" t="str">
        <f>VLOOKUP($AT21,'Hardware costs'!$B$4:$N$21,3,FALSE)</f>
        <v>Win VDI</v>
      </c>
      <c r="AV21" s="35">
        <f>VLOOKUP($AT21,'Hardware costs'!$B$4:$N$21,4,FALSE)</f>
        <v>4</v>
      </c>
      <c r="AW21" s="35">
        <f>VLOOKUP($AT21,'Hardware costs'!$B$4:$N$21,5,FALSE)</f>
        <v>8</v>
      </c>
      <c r="AX21" s="34" t="s">
        <v>180</v>
      </c>
      <c r="AY21" s="38">
        <v>1</v>
      </c>
      <c r="AZ21" s="27">
        <f>AY21*AP21</f>
        <v>2668.68</v>
      </c>
      <c r="BA21" s="22"/>
      <c r="BB21" s="72">
        <f t="shared" si="0"/>
        <v>5337.36</v>
      </c>
      <c r="BC21" s="72"/>
      <c r="BD21" s="9"/>
      <c r="BE21" s="9"/>
    </row>
    <row r="22" spans="2:60" ht="24.95" customHeight="1" x14ac:dyDescent="0.25">
      <c r="B22" s="77"/>
      <c r="C22" s="29" t="s">
        <v>181</v>
      </c>
      <c r="D22" s="32">
        <f>SUM(D18:D21)</f>
        <v>26095.56</v>
      </c>
      <c r="E22" s="32">
        <f>SUM(E18:E21)</f>
        <v>24361.56</v>
      </c>
      <c r="F22" s="32">
        <f>SUM(F18:F21)</f>
        <v>1734</v>
      </c>
      <c r="G22" s="30"/>
      <c r="H22" s="30"/>
      <c r="I22" s="30"/>
      <c r="J22" s="30"/>
      <c r="K22" s="30"/>
      <c r="L22" s="30"/>
      <c r="M22" s="30"/>
      <c r="N22" s="31">
        <f>SUM(N18:N21)</f>
        <v>26095.56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1">
        <f>SUM(Y18:Y21)</f>
        <v>26095.56</v>
      </c>
      <c r="Z22" s="31">
        <f>SUM(Z18:Z21)</f>
        <v>24361.56</v>
      </c>
      <c r="AA22" s="31">
        <f>SUM(AA18:AA21)</f>
        <v>1734</v>
      </c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1">
        <f>SUM(AP18:AP21)</f>
        <v>26095.56</v>
      </c>
      <c r="AQ22" s="31">
        <f>SUM(AQ18:AQ21)</f>
        <v>24361.56</v>
      </c>
      <c r="AR22" s="31">
        <f>SUM(AR18:AR21)</f>
        <v>1734</v>
      </c>
      <c r="AS22" s="30"/>
      <c r="AT22" s="30"/>
      <c r="AU22" s="30"/>
      <c r="AV22" s="30"/>
      <c r="AW22" s="30"/>
      <c r="AX22" s="30"/>
      <c r="AY22" s="30"/>
      <c r="AZ22" s="31">
        <f>SUM(AZ18:AZ21)</f>
        <v>26095.56</v>
      </c>
      <c r="BA22" s="30"/>
      <c r="BB22" s="73">
        <f>SUM(BB18:BB21)</f>
        <v>52191.12</v>
      </c>
      <c r="BC22" s="73"/>
      <c r="BD22" s="9"/>
      <c r="BE22" s="9"/>
    </row>
    <row r="23" spans="2:60" ht="39" customHeight="1" x14ac:dyDescent="0.25"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6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</row>
    <row r="24" spans="2:60" ht="32.1" customHeight="1" x14ac:dyDescent="0.25">
      <c r="B24" s="79"/>
      <c r="C24" s="183" t="s">
        <v>182</v>
      </c>
      <c r="D24" s="194" t="s">
        <v>171</v>
      </c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94" t="s">
        <v>73</v>
      </c>
      <c r="Z24" s="194"/>
      <c r="AA24" s="194"/>
      <c r="AB24" s="194"/>
      <c r="AC24" s="194"/>
      <c r="AD24" s="194"/>
      <c r="AE24" s="194"/>
      <c r="AF24" s="194"/>
      <c r="AG24" s="194"/>
      <c r="AH24" s="182"/>
      <c r="AI24" s="182"/>
      <c r="AJ24" s="182"/>
      <c r="AK24" s="182"/>
      <c r="AL24" s="182"/>
      <c r="AM24" s="182"/>
      <c r="AN24" s="182"/>
      <c r="AO24" s="182"/>
      <c r="AP24" s="194" t="s">
        <v>74</v>
      </c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82"/>
      <c r="BB24" s="198" t="s">
        <v>75</v>
      </c>
      <c r="BC24" s="184"/>
      <c r="BD24" s="25"/>
      <c r="BE24" s="25"/>
    </row>
    <row r="25" spans="2:60" ht="33" customHeight="1" x14ac:dyDescent="0.25">
      <c r="B25" s="80"/>
      <c r="C25" s="54" t="s">
        <v>77</v>
      </c>
      <c r="D25" s="52" t="s">
        <v>80</v>
      </c>
      <c r="E25" s="52" t="s">
        <v>83</v>
      </c>
      <c r="F25" s="52" t="s">
        <v>84</v>
      </c>
      <c r="G25" s="52"/>
      <c r="H25" s="54" t="s">
        <v>78</v>
      </c>
      <c r="I25" s="54" t="s">
        <v>85</v>
      </c>
      <c r="J25" s="52" t="s">
        <v>86</v>
      </c>
      <c r="K25" s="52" t="s">
        <v>87</v>
      </c>
      <c r="L25" s="52" t="s">
        <v>79</v>
      </c>
      <c r="M25" s="52" t="s">
        <v>81</v>
      </c>
      <c r="N25" s="52" t="s">
        <v>82</v>
      </c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 t="s">
        <v>80</v>
      </c>
      <c r="Z25" s="52" t="s">
        <v>83</v>
      </c>
      <c r="AA25" s="52" t="s">
        <v>84</v>
      </c>
      <c r="AB25" s="52"/>
      <c r="AC25" s="54" t="s">
        <v>78</v>
      </c>
      <c r="AD25" s="54" t="s">
        <v>85</v>
      </c>
      <c r="AE25" s="52" t="s">
        <v>86</v>
      </c>
      <c r="AF25" s="55" t="s">
        <v>87</v>
      </c>
      <c r="AG25" s="55" t="s">
        <v>79</v>
      </c>
      <c r="AH25" s="52"/>
      <c r="AI25" s="52"/>
      <c r="AJ25" s="52"/>
      <c r="AK25" s="52"/>
      <c r="AL25" s="52"/>
      <c r="AM25" s="52"/>
      <c r="AN25" s="52"/>
      <c r="AO25" s="52"/>
      <c r="AP25" s="52" t="s">
        <v>80</v>
      </c>
      <c r="AQ25" s="52" t="s">
        <v>83</v>
      </c>
      <c r="AR25" s="52" t="s">
        <v>84</v>
      </c>
      <c r="AS25" s="52"/>
      <c r="AT25" s="54" t="s">
        <v>78</v>
      </c>
      <c r="AU25" s="54" t="s">
        <v>85</v>
      </c>
      <c r="AV25" s="52" t="s">
        <v>86</v>
      </c>
      <c r="AW25" s="55" t="s">
        <v>87</v>
      </c>
      <c r="AX25" s="55" t="s">
        <v>79</v>
      </c>
      <c r="AY25" s="55" t="s">
        <v>81</v>
      </c>
      <c r="AZ25" s="55" t="s">
        <v>82</v>
      </c>
      <c r="BA25" s="75"/>
      <c r="BB25" s="198"/>
      <c r="BC25" s="184"/>
      <c r="BD25" s="25"/>
      <c r="BE25" s="25"/>
    </row>
    <row r="26" spans="2:60" ht="24.95" customHeight="1" x14ac:dyDescent="0.25">
      <c r="B26" s="20"/>
      <c r="C26" s="21" t="s">
        <v>183</v>
      </c>
      <c r="D26" s="27">
        <f>SUM(E26:F26)</f>
        <v>5337.36</v>
      </c>
      <c r="E26" s="27">
        <f>VLOOKUP($H26,'Hardware costs'!$B$4:$W$21,MATCH($BG$4,'Hardware costs'!$B$3:$W$3, 0),FALSE) * 12</f>
        <v>5133.3599999999997</v>
      </c>
      <c r="F26" s="27">
        <f>L26/1000*VLOOKUP("HDD-1TB",'Hardware costs'!$B$4:$W$21,MATCH($BG$4,'Hardware costs'!$B$3:$W$3, 0),FALSE) * 12</f>
        <v>204</v>
      </c>
      <c r="G26" s="11"/>
      <c r="H26" s="40" t="s">
        <v>184</v>
      </c>
      <c r="I26" s="13" t="str">
        <f>VLOOKUP($H26,'Hardware costs'!$B$4:$N$21,3,FALSE)</f>
        <v>Win Server</v>
      </c>
      <c r="J26" s="43">
        <f>VLOOKUP($H26,'Hardware costs'!$B$4:$N$21,4,FALSE)</f>
        <v>8</v>
      </c>
      <c r="K26" s="43">
        <f>VLOOKUP($H26,'Hardware costs'!$B$4:$N$21,5,FALSE)</f>
        <v>8</v>
      </c>
      <c r="L26" s="46" t="s">
        <v>185</v>
      </c>
      <c r="M26" s="15">
        <v>1</v>
      </c>
      <c r="N26" s="27">
        <f>M26*D26</f>
        <v>5337.36</v>
      </c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7">
        <f>Z26+AA26</f>
        <v>5337.36</v>
      </c>
      <c r="Z26" s="41">
        <f>VLOOKUP($AC26,'Hardware costs'!$B$4:$W$21,MATCH($BG$4,'Hardware costs'!$B$3:$W$3, 0),FALSE) * 12</f>
        <v>5133.3599999999997</v>
      </c>
      <c r="AA26" s="41">
        <f>AG26/1000*VLOOKUP("HDD-1TB",'Hardware costs'!$B$4:$W$21,MATCH($BG$4,'Hardware costs'!$B$3:$W$3, 0),FALSE) * 12</f>
        <v>204</v>
      </c>
      <c r="AB26" s="11"/>
      <c r="AC26" s="40" t="s">
        <v>184</v>
      </c>
      <c r="AD26" s="13" t="str">
        <f>VLOOKUP($AC26,'Hardware costs'!$B$4:$N$21,3,FALSE)</f>
        <v>Win Server</v>
      </c>
      <c r="AE26" s="36">
        <f>VLOOKUP($AC26,'Hardware costs'!$B$4:$N$21,4,FALSE)</f>
        <v>8</v>
      </c>
      <c r="AF26" s="36">
        <f>VLOOKUP($AC26,'Hardware costs'!$B$4:$N$21,5,FALSE)</f>
        <v>8</v>
      </c>
      <c r="AG26" s="46" t="s">
        <v>185</v>
      </c>
      <c r="AH26" s="27"/>
      <c r="AI26" s="27"/>
      <c r="AJ26" s="27"/>
      <c r="AK26" s="27"/>
      <c r="AL26" s="27"/>
      <c r="AM26" s="27"/>
      <c r="AN26" s="27"/>
      <c r="AO26" s="27"/>
      <c r="AP26" s="27">
        <f>AQ26+AR26</f>
        <v>5337.36</v>
      </c>
      <c r="AQ26" s="27">
        <f>VLOOKUP($AT26,'Hardware costs'!$B$4:$W$21,MATCH($BG$4,'Hardware costs'!$B$3:$W$3, 0),FALSE) * 12</f>
        <v>5133.3599999999997</v>
      </c>
      <c r="AR26" s="27">
        <f>AX26/1000*VLOOKUP("HDD-1TB",'Hardware costs'!$B$4:$W$21,MATCH($BG$4,'Hardware costs'!$B$3:$W$3, 0),FALSE) * 12</f>
        <v>204</v>
      </c>
      <c r="AS26" s="11"/>
      <c r="AT26" s="40" t="s">
        <v>184</v>
      </c>
      <c r="AU26" s="13" t="str">
        <f>VLOOKUP($AT26,'Hardware costs'!$B$4:$N$21,3,FALSE)</f>
        <v>Win Server</v>
      </c>
      <c r="AV26" s="36">
        <f>VLOOKUP($AT26,'Hardware costs'!$B$4:$N$21,4,FALSE)</f>
        <v>8</v>
      </c>
      <c r="AW26" s="36">
        <f>VLOOKUP($AT26,'Hardware costs'!$B$4:$N$21,5,FALSE)</f>
        <v>8</v>
      </c>
      <c r="AX26" s="46" t="s">
        <v>185</v>
      </c>
      <c r="AY26" s="17">
        <f>1*(1+IF($BH$9="Yes",1,0)+IF($BH$14="Yes",1,0)+IF($BH$16="Yes",1,0))</f>
        <v>1</v>
      </c>
      <c r="AZ26" s="27">
        <f>AY26*AP26</f>
        <v>5337.36</v>
      </c>
      <c r="BA26" s="27"/>
      <c r="BB26" s="72">
        <f>N26+AZ26</f>
        <v>10674.72</v>
      </c>
      <c r="BC26" s="72"/>
      <c r="BD26" s="20"/>
      <c r="BE26" s="20"/>
    </row>
    <row r="27" spans="2:60" ht="24.95" customHeight="1" x14ac:dyDescent="0.25">
      <c r="B27" s="20"/>
      <c r="C27" s="23" t="s">
        <v>175</v>
      </c>
      <c r="D27" s="27">
        <f>SUM(E27:F27)</f>
        <v>17681.52</v>
      </c>
      <c r="E27" s="27">
        <f>VLOOKUP($H27,'Hardware costs'!$B$4:$W$21,MATCH($BG$4,'Hardware costs'!$B$3:$W$3, 0),FALSE) * 12</f>
        <v>16661.52</v>
      </c>
      <c r="F27" s="27">
        <f>L27/1000*VLOOKUP("HDD-1TB",'Hardware costs'!$B$4:$W$21,MATCH($BG$4,'Hardware costs'!$B$3:$W$3, 0),FALSE) * 12</f>
        <v>1020</v>
      </c>
      <c r="G27" s="11"/>
      <c r="H27" s="40" t="s">
        <v>176</v>
      </c>
      <c r="I27" s="64" t="str">
        <f>VLOOKUP($H27,'Hardware costs'!$B$4:$N$21,3,FALSE)</f>
        <v>Win SQL Server</v>
      </c>
      <c r="J27" s="43">
        <f>VLOOKUP($H27,'Hardware costs'!$B$4:$N$21,4,FALSE)</f>
        <v>8</v>
      </c>
      <c r="K27" s="43">
        <f>VLOOKUP($H27,'Hardware costs'!$B$4:$N$21,5,FALSE)</f>
        <v>16</v>
      </c>
      <c r="L27" s="34" t="s">
        <v>186</v>
      </c>
      <c r="M27" s="38">
        <v>1</v>
      </c>
      <c r="N27" s="27">
        <f>M27*D27</f>
        <v>17681.52</v>
      </c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7">
        <f>Z27+AA27</f>
        <v>17681.52</v>
      </c>
      <c r="Z27" s="41">
        <f>VLOOKUP($AC27,'Hardware costs'!$B$4:$W$21,MATCH($BG$4,'Hardware costs'!$B$3:$W$3, 0),FALSE) * 12</f>
        <v>16661.52</v>
      </c>
      <c r="AA27" s="41">
        <f>AG27/1000*VLOOKUP("HDD-1TB",'Hardware costs'!$B$4:$W$21,MATCH($BG$4,'Hardware costs'!$B$3:$W$3, 0),FALSE) * 12</f>
        <v>1020</v>
      </c>
      <c r="AB27" s="11"/>
      <c r="AC27" s="40" t="s">
        <v>176</v>
      </c>
      <c r="AD27" s="64" t="str">
        <f>VLOOKUP($AC27,'Hardware costs'!$B$4:$N$21,3,FALSE)</f>
        <v>Win SQL Server</v>
      </c>
      <c r="AE27" s="36">
        <f>VLOOKUP($AC27,'Hardware costs'!$B$4:$N$21,4,FALSE)</f>
        <v>8</v>
      </c>
      <c r="AF27" s="36">
        <f>VLOOKUP($AC27,'Hardware costs'!$B$4:$N$21,5,FALSE)</f>
        <v>16</v>
      </c>
      <c r="AG27" s="34" t="s">
        <v>186</v>
      </c>
      <c r="AH27" s="27"/>
      <c r="AI27" s="27"/>
      <c r="AJ27" s="27"/>
      <c r="AK27" s="27"/>
      <c r="AL27" s="27"/>
      <c r="AM27" s="27"/>
      <c r="AN27" s="27"/>
      <c r="AO27" s="27"/>
      <c r="AP27" s="27">
        <f>AQ27+AR27</f>
        <v>17681.52</v>
      </c>
      <c r="AQ27" s="27">
        <f>VLOOKUP($AT27,'Hardware costs'!$B$4:$W$21,MATCH($BG$4,'Hardware costs'!$B$3:$W$3, 0),FALSE) * 12</f>
        <v>16661.52</v>
      </c>
      <c r="AR27" s="27">
        <f>AX27/1000*VLOOKUP("HDD-1TB",'Hardware costs'!$B$4:$W$21,MATCH($BG$4,'Hardware costs'!$B$3:$W$3, 0),FALSE) * 12</f>
        <v>1020</v>
      </c>
      <c r="AS27" s="11"/>
      <c r="AT27" s="40" t="s">
        <v>176</v>
      </c>
      <c r="AU27" s="64" t="str">
        <f>VLOOKUP($AT27,'Hardware costs'!$B$4:$N$21,3,FALSE)</f>
        <v>Win SQL Server</v>
      </c>
      <c r="AV27" s="35">
        <f>VLOOKUP($AT27,'Hardware costs'!$B$4:$N$21,4,FALSE)</f>
        <v>8</v>
      </c>
      <c r="AW27" s="35">
        <f>VLOOKUP($AT27,'Hardware costs'!$B$4:$N$21,5,FALSE)</f>
        <v>16</v>
      </c>
      <c r="AX27" s="34" t="s">
        <v>186</v>
      </c>
      <c r="AY27" s="17">
        <f>1*(1+IF($BH$9="Yes",1,0)+IF($BH$14="Yes",1,0)+IF($BH$16="Yes",1,0))</f>
        <v>1</v>
      </c>
      <c r="AZ27" s="27">
        <f>AY27*AP27</f>
        <v>17681.52</v>
      </c>
      <c r="BA27" s="27"/>
      <c r="BB27" s="72">
        <f t="shared" ref="BB27:BB28" si="1">N27+AZ27</f>
        <v>35363.040000000001</v>
      </c>
      <c r="BC27" s="72"/>
      <c r="BD27" s="20"/>
      <c r="BE27" s="20"/>
    </row>
    <row r="28" spans="2:60" ht="24.95" customHeight="1" x14ac:dyDescent="0.25">
      <c r="B28" s="20"/>
      <c r="C28" s="23" t="s">
        <v>179</v>
      </c>
      <c r="D28" s="27">
        <f>SUM(E28:F28)</f>
        <v>1385.28</v>
      </c>
      <c r="E28" s="27">
        <f>VLOOKUP($H28,'Hardware costs'!$B$4:$W$21,MATCH($BG$4,'Hardware costs'!$B$3:$W$3, 0),FALSE) * 12</f>
        <v>1283.28</v>
      </c>
      <c r="F28" s="27">
        <f>L28/1000*VLOOKUP("HDD-1TB",'Hardware costs'!$B$4:$W$21,MATCH($BG$4,'Hardware costs'!$B$3:$W$3, 0),FALSE) * 12</f>
        <v>102</v>
      </c>
      <c r="G28" s="11"/>
      <c r="H28" s="40" t="s">
        <v>187</v>
      </c>
      <c r="I28" s="64" t="str">
        <f>VLOOKUP($H28,'Hardware costs'!$B$4:$N$21,3,FALSE)</f>
        <v>Win VDI</v>
      </c>
      <c r="J28" s="43">
        <f>VLOOKUP($H28,'Hardware costs'!$B$4:$N$21,4,FALSE)</f>
        <v>2</v>
      </c>
      <c r="K28" s="43">
        <f>VLOOKUP($H28,'Hardware costs'!$B$4:$N$21,5,FALSE)</f>
        <v>8</v>
      </c>
      <c r="L28" s="34" t="s">
        <v>180</v>
      </c>
      <c r="M28" s="37">
        <v>1</v>
      </c>
      <c r="N28" s="27">
        <f>M28*D28</f>
        <v>1385.28</v>
      </c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7">
        <f>Z28+AA28</f>
        <v>1385.28</v>
      </c>
      <c r="Z28" s="41">
        <f>VLOOKUP($AC28,'Hardware costs'!$B$4:$W$21,MATCH($BG$4,'Hardware costs'!$B$3:$W$3, 0),FALSE) * 12</f>
        <v>1283.28</v>
      </c>
      <c r="AA28" s="41">
        <f>AG28/1000*VLOOKUP("HDD-1TB",'Hardware costs'!$B$4:$W$21,MATCH($BG$4,'Hardware costs'!$B$3:$W$3, 0),FALSE) * 12</f>
        <v>102</v>
      </c>
      <c r="AB28" s="11"/>
      <c r="AC28" s="40" t="s">
        <v>187</v>
      </c>
      <c r="AD28" s="64" t="str">
        <f>VLOOKUP($AC28,'Hardware costs'!$B$4:$N$21,3,FALSE)</f>
        <v>Win VDI</v>
      </c>
      <c r="AE28" s="35">
        <f>VLOOKUP($AC28,'Hardware costs'!$B$4:$N$21,4,FALSE)</f>
        <v>2</v>
      </c>
      <c r="AF28" s="35">
        <f>VLOOKUP($AC28,'Hardware costs'!$B$4:$N$21,5,FALSE)</f>
        <v>8</v>
      </c>
      <c r="AG28" s="34" t="s">
        <v>180</v>
      </c>
      <c r="AH28" s="27"/>
      <c r="AI28" s="27"/>
      <c r="AJ28" s="27"/>
      <c r="AK28" s="27"/>
      <c r="AL28" s="27"/>
      <c r="AM28" s="27"/>
      <c r="AN28" s="27"/>
      <c r="AO28" s="27"/>
      <c r="AP28" s="27">
        <f>AQ28+AR28</f>
        <v>1385.28</v>
      </c>
      <c r="AQ28" s="27">
        <f>VLOOKUP($AT28,'Hardware costs'!$B$4:$W$21,MATCH($BG$4,'Hardware costs'!$B$3:$W$3, 0),FALSE) * 12</f>
        <v>1283.28</v>
      </c>
      <c r="AR28" s="27">
        <f>AX28/1000*VLOOKUP("HDD-1TB",'Hardware costs'!$B$4:$W$21,MATCH($BG$4,'Hardware costs'!$B$3:$W$3, 0),FALSE) * 12</f>
        <v>102</v>
      </c>
      <c r="AS28" s="11"/>
      <c r="AT28" s="40" t="s">
        <v>187</v>
      </c>
      <c r="AU28" s="64" t="str">
        <f>VLOOKUP($AT28,'Hardware costs'!$B$4:$N$21,3,FALSE)</f>
        <v>Win VDI</v>
      </c>
      <c r="AV28" s="35">
        <f>VLOOKUP($AT28,'Hardware costs'!$B$4:$N$21,4,FALSE)</f>
        <v>2</v>
      </c>
      <c r="AW28" s="35">
        <f>VLOOKUP($AT28,'Hardware costs'!$B$4:$N$21,5,FALSE)</f>
        <v>8</v>
      </c>
      <c r="AX28" s="34" t="s">
        <v>180</v>
      </c>
      <c r="AY28" s="38">
        <v>1</v>
      </c>
      <c r="AZ28" s="27">
        <f>AY28*AP28</f>
        <v>1385.28</v>
      </c>
      <c r="BA28" s="27"/>
      <c r="BB28" s="72">
        <f t="shared" si="1"/>
        <v>2770.56</v>
      </c>
      <c r="BC28" s="72"/>
      <c r="BD28" s="20"/>
      <c r="BE28" s="20"/>
    </row>
    <row r="29" spans="2:60" ht="24.95" customHeight="1" x14ac:dyDescent="0.25">
      <c r="B29" s="81"/>
      <c r="C29" s="29" t="s">
        <v>181</v>
      </c>
      <c r="D29" s="31">
        <f>SUM(D26:D28)</f>
        <v>24404.16</v>
      </c>
      <c r="E29" s="31">
        <f>SUM(E26:E28)</f>
        <v>23078.16</v>
      </c>
      <c r="F29" s="31">
        <f>SUM(F26:F28)</f>
        <v>1326</v>
      </c>
      <c r="G29" s="30"/>
      <c r="H29" s="30"/>
      <c r="I29" s="30"/>
      <c r="J29" s="30"/>
      <c r="K29" s="30"/>
      <c r="L29" s="30"/>
      <c r="M29" s="30"/>
      <c r="N29" s="31">
        <f>SUM(N26:N28)</f>
        <v>24404.16</v>
      </c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1">
        <f>SUM(Y26:Y28)</f>
        <v>24404.16</v>
      </c>
      <c r="Z29" s="31">
        <f>SUM(Z26:Z28)</f>
        <v>23078.16</v>
      </c>
      <c r="AA29" s="31">
        <f>SUM(AA26:AA28)</f>
        <v>1326</v>
      </c>
      <c r="AB29" s="30"/>
      <c r="AC29" s="30"/>
      <c r="AD29" s="30"/>
      <c r="AE29" s="30"/>
      <c r="AF29" s="30"/>
      <c r="AG29" s="30"/>
      <c r="AH29" s="31"/>
      <c r="AI29" s="31"/>
      <c r="AJ29" s="31"/>
      <c r="AK29" s="31"/>
      <c r="AL29" s="31"/>
      <c r="AM29" s="31"/>
      <c r="AN29" s="31"/>
      <c r="AO29" s="31"/>
      <c r="AP29" s="31">
        <f>SUM(AP26:AP28)</f>
        <v>24404.16</v>
      </c>
      <c r="AQ29" s="31">
        <f>SUM(AQ26:AQ28)</f>
        <v>23078.16</v>
      </c>
      <c r="AR29" s="31">
        <f>SUM(AR26:AR28)</f>
        <v>1326</v>
      </c>
      <c r="AS29" s="30"/>
      <c r="AT29" s="30"/>
      <c r="AU29" s="30"/>
      <c r="AV29" s="30"/>
      <c r="AW29" s="30"/>
      <c r="AX29" s="30"/>
      <c r="AY29" s="30"/>
      <c r="AZ29" s="31">
        <f>SUM(AZ26:AZ28)</f>
        <v>24404.16</v>
      </c>
      <c r="BA29" s="31"/>
      <c r="BB29" s="73">
        <f>SUM(BB26:BB28)</f>
        <v>48808.32</v>
      </c>
      <c r="BC29" s="73"/>
      <c r="BD29" s="20"/>
      <c r="BE29" s="20"/>
      <c r="BH29" s="1" t="s">
        <v>103</v>
      </c>
    </row>
    <row r="30" spans="2:60" ht="15" customHeight="1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12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74"/>
      <c r="BA30" s="74"/>
      <c r="BB30" s="74"/>
      <c r="BC30" s="74"/>
      <c r="BD30" s="20"/>
      <c r="BE30" s="20"/>
    </row>
    <row r="31" spans="2:60" ht="15" customHeight="1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12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</row>
    <row r="32" spans="2:60" ht="15" customHeight="1" x14ac:dyDescent="0.2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</row>
    <row r="33" spans="2:57" ht="15" customHeight="1" x14ac:dyDescent="0.2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 t="s">
        <v>103</v>
      </c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</row>
    <row r="34" spans="2:57" x14ac:dyDescent="0.25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 t="s">
        <v>103</v>
      </c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</row>
    <row r="35" spans="2:57" x14ac:dyDescent="0.25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</row>
    <row r="36" spans="2:57" x14ac:dyDescent="0.25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2:57" x14ac:dyDescent="0.25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</row>
    <row r="38" spans="2:57" x14ac:dyDescent="0.2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2:57" x14ac:dyDescent="0.2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</row>
    <row r="40" spans="2:57" x14ac:dyDescent="0.25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</row>
    <row r="41" spans="2:57" x14ac:dyDescent="0.25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</row>
    <row r="42" spans="2:57" x14ac:dyDescent="0.25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</row>
    <row r="43" spans="2:57" x14ac:dyDescent="0.25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</row>
    <row r="44" spans="2:57" x14ac:dyDescent="0.2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</row>
    <row r="45" spans="2:57" x14ac:dyDescent="0.25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</row>
    <row r="46" spans="2:57" x14ac:dyDescent="0.25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</row>
    <row r="47" spans="2:57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</row>
    <row r="48" spans="2:57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</row>
    <row r="49" spans="2:57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</row>
    <row r="50" spans="2:57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</row>
    <row r="51" spans="2:57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</row>
    <row r="52" spans="2:57" x14ac:dyDescent="0.25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</row>
    <row r="53" spans="2:57" x14ac:dyDescent="0.25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2:57" x14ac:dyDescent="0.25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</row>
    <row r="55" spans="2:57" x14ac:dyDescent="0.25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</row>
    <row r="56" spans="2:57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2:57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</row>
    <row r="58" spans="2:57" x14ac:dyDescent="0.2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</row>
    <row r="59" spans="2:57" x14ac:dyDescent="0.25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</row>
    <row r="60" spans="2:57" x14ac:dyDescent="0.25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</row>
    <row r="61" spans="2:57" x14ac:dyDescent="0.25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</row>
    <row r="62" spans="2:57" x14ac:dyDescent="0.2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</row>
    <row r="63" spans="2:57" x14ac:dyDescent="0.25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</row>
    <row r="64" spans="2:57" x14ac:dyDescent="0.25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</row>
    <row r="65" spans="2:57" x14ac:dyDescent="0.2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</row>
    <row r="66" spans="2:57" x14ac:dyDescent="0.25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</row>
    <row r="67" spans="2:57" x14ac:dyDescent="0.25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</row>
    <row r="68" spans="2:57" x14ac:dyDescent="0.25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</row>
    <row r="69" spans="2:57" x14ac:dyDescent="0.25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</row>
    <row r="70" spans="2:57" x14ac:dyDescent="0.2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</row>
    <row r="71" spans="2:57" x14ac:dyDescent="0.25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</row>
    <row r="72" spans="2:57" x14ac:dyDescent="0.25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</row>
    <row r="73" spans="2:57" x14ac:dyDescent="0.25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</row>
    <row r="74" spans="2:57" x14ac:dyDescent="0.25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</row>
    <row r="75" spans="2:57" x14ac:dyDescent="0.25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</row>
    <row r="76" spans="2:57" x14ac:dyDescent="0.25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</row>
    <row r="77" spans="2:57" x14ac:dyDescent="0.25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</row>
    <row r="78" spans="2:57" x14ac:dyDescent="0.25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</row>
    <row r="79" spans="2:57" x14ac:dyDescent="0.25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</row>
    <row r="80" spans="2:57" x14ac:dyDescent="0.25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  <row r="81" spans="2:57" x14ac:dyDescent="0.25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</row>
    <row r="82" spans="2:57" x14ac:dyDescent="0.25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</row>
    <row r="83" spans="2:57" x14ac:dyDescent="0.25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</row>
    <row r="84" spans="2:57" x14ac:dyDescent="0.25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</row>
    <row r="85" spans="2:57" x14ac:dyDescent="0.25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</row>
    <row r="86" spans="2:57" x14ac:dyDescent="0.25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</row>
    <row r="87" spans="2:57" x14ac:dyDescent="0.25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</row>
    <row r="88" spans="2:57" x14ac:dyDescent="0.25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</row>
    <row r="89" spans="2:57" x14ac:dyDescent="0.25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</row>
    <row r="90" spans="2:57" x14ac:dyDescent="0.25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</row>
    <row r="91" spans="2:57" x14ac:dyDescent="0.25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</row>
    <row r="92" spans="2:57" x14ac:dyDescent="0.25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</row>
    <row r="93" spans="2:57" x14ac:dyDescent="0.25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</row>
    <row r="94" spans="2:57" x14ac:dyDescent="0.25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</row>
    <row r="95" spans="2:57" x14ac:dyDescent="0.25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</row>
    <row r="96" spans="2:57" x14ac:dyDescent="0.25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</row>
    <row r="97" spans="2:57" x14ac:dyDescent="0.25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</row>
  </sheetData>
  <mergeCells count="14">
    <mergeCell ref="D16:N16"/>
    <mergeCell ref="Y16:AG16"/>
    <mergeCell ref="AP16:AZ16"/>
    <mergeCell ref="BB16:BB17"/>
    <mergeCell ref="D24:N24"/>
    <mergeCell ref="Y24:AG24"/>
    <mergeCell ref="AP24:AZ24"/>
    <mergeCell ref="BB24:BB25"/>
    <mergeCell ref="D1:BH1"/>
    <mergeCell ref="D3:N3"/>
    <mergeCell ref="Y3:AG3"/>
    <mergeCell ref="AP3:AZ3"/>
    <mergeCell ref="BB3:BB4"/>
    <mergeCell ref="BG4:BH4"/>
  </mergeCells>
  <dataValidations count="1">
    <dataValidation type="list" allowBlank="1" showInputMessage="1" showErrorMessage="1" sqref="BH7:BH9 BH12:BH16" xr:uid="{2FCB17EE-B871-B644-B7DC-CA0A713FE251}">
      <formula1>"Yes,No"</formula1>
    </dataValidation>
  </dataValidations>
  <pageMargins left="0.7" right="0.7" top="0.75" bottom="0.75" header="0.3" footer="0.3"/>
  <pageSetup paperSize="1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7AE71A-3487-6C45-B380-064EE4B1B56F}">
          <x14:formula1>
            <xm:f>'Hardware costs'!$B$4:$B$21</xm:f>
          </x14:formula1>
          <xm:sqref>AT26:AT28 H5:H12 AC5:AC12 AT5:AT12 AC26:AC28 AC18:AC21 H18:H21 H26:H28 AT18:AT21</xm:sqref>
        </x14:dataValidation>
        <x14:dataValidation type="list" allowBlank="1" showInputMessage="1" showErrorMessage="1" xr:uid="{689CB98E-6544-A148-A476-05EFC975E6CF}">
          <x14:formula1>
            <xm:f>'Hardware costs'!$L$3:$P$3</xm:f>
          </x14:formula1>
          <xm:sqref>BG4:BH4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showGridLines="0" workbookViewId="0">
      <pane ySplit="1" topLeftCell="A2" activePane="bottomLeft" state="frozen"/>
      <selection pane="bottomLeft" activeCell="G22" sqref="G22"/>
    </sheetView>
  </sheetViews>
  <sheetFormatPr defaultColWidth="10.85546875" defaultRowHeight="15" x14ac:dyDescent="0.25"/>
  <cols>
    <col min="1" max="1" width="2.7109375" customWidth="1"/>
    <col min="2" max="2" width="26.28515625" customWidth="1"/>
    <col min="3" max="3" width="18.140625" bestFit="1" customWidth="1"/>
    <col min="6" max="6" width="9.85546875" customWidth="1"/>
    <col min="7" max="8" width="3.85546875" customWidth="1"/>
  </cols>
  <sheetData>
    <row r="1" spans="1:8" ht="60" customHeight="1" x14ac:dyDescent="0.25">
      <c r="B1" s="199" t="s">
        <v>188</v>
      </c>
      <c r="C1" s="199"/>
      <c r="D1" s="199"/>
      <c r="E1" s="199"/>
    </row>
    <row r="2" spans="1:8" ht="20.100000000000001" customHeight="1" x14ac:dyDescent="0.25">
      <c r="B2" s="185"/>
      <c r="C2" s="185"/>
      <c r="D2" s="185"/>
      <c r="E2" s="185"/>
    </row>
    <row r="3" spans="1:8" ht="39.950000000000003" customHeight="1" x14ac:dyDescent="0.25">
      <c r="B3" s="103" t="s">
        <v>170</v>
      </c>
      <c r="C3" s="103" t="s">
        <v>85</v>
      </c>
      <c r="D3" s="122" t="s">
        <v>86</v>
      </c>
      <c r="E3" s="122" t="s">
        <v>87</v>
      </c>
      <c r="F3" s="122" t="s">
        <v>79</v>
      </c>
      <c r="G3" s="122"/>
      <c r="H3" s="103"/>
    </row>
    <row r="4" spans="1:8" s="119" customFormat="1" ht="32.1" customHeight="1" x14ac:dyDescent="0.25">
      <c r="A4" s="105"/>
      <c r="B4" s="105" t="s">
        <v>172</v>
      </c>
      <c r="C4" s="105" t="s">
        <v>189</v>
      </c>
      <c r="D4" s="120">
        <v>4</v>
      </c>
      <c r="E4" s="120">
        <v>4</v>
      </c>
      <c r="F4" s="120">
        <v>200</v>
      </c>
      <c r="G4" s="120"/>
      <c r="H4" s="105"/>
    </row>
    <row r="5" spans="1:8" s="119" customFormat="1" ht="32.1" customHeight="1" x14ac:dyDescent="0.25">
      <c r="A5" s="105"/>
      <c r="B5" s="104" t="s">
        <v>175</v>
      </c>
      <c r="C5" s="105" t="s">
        <v>190</v>
      </c>
      <c r="D5" s="121">
        <v>8</v>
      </c>
      <c r="E5" s="121">
        <v>16</v>
      </c>
      <c r="F5" s="121">
        <v>400</v>
      </c>
      <c r="G5" s="121"/>
      <c r="H5" s="104"/>
    </row>
    <row r="6" spans="1:8" s="119" customFormat="1" ht="32.1" customHeight="1" x14ac:dyDescent="0.25">
      <c r="A6" s="105"/>
      <c r="B6" s="105" t="s">
        <v>178</v>
      </c>
      <c r="C6" s="105" t="s">
        <v>189</v>
      </c>
      <c r="D6" s="120">
        <v>4</v>
      </c>
      <c r="E6" s="120">
        <v>12</v>
      </c>
      <c r="F6" s="120">
        <v>200</v>
      </c>
      <c r="G6" s="120"/>
      <c r="H6" s="105"/>
    </row>
    <row r="7" spans="1:8" s="119" customFormat="1" ht="32.1" customHeight="1" x14ac:dyDescent="0.25">
      <c r="A7" s="105"/>
      <c r="B7" s="105" t="s">
        <v>179</v>
      </c>
      <c r="C7" s="105" t="s">
        <v>189</v>
      </c>
      <c r="D7" s="120">
        <v>4</v>
      </c>
      <c r="E7" s="120">
        <v>8</v>
      </c>
      <c r="F7" s="120">
        <v>50</v>
      </c>
      <c r="G7" s="120"/>
      <c r="H7" s="105"/>
    </row>
    <row r="8" spans="1:8" s="119" customFormat="1" ht="32.1" customHeight="1" x14ac:dyDescent="0.25">
      <c r="A8" s="105"/>
      <c r="B8" s="105"/>
      <c r="C8" s="105"/>
      <c r="D8" s="120"/>
      <c r="E8" s="120"/>
      <c r="F8" s="120"/>
      <c r="G8" s="120"/>
      <c r="H8" s="105"/>
    </row>
    <row r="9" spans="1:8" s="119" customFormat="1" ht="32.1" customHeight="1" x14ac:dyDescent="0.25">
      <c r="A9" s="118"/>
      <c r="B9" s="103" t="s">
        <v>182</v>
      </c>
      <c r="C9" s="103" t="s">
        <v>85</v>
      </c>
      <c r="D9" s="122" t="s">
        <v>86</v>
      </c>
      <c r="E9" s="122" t="s">
        <v>87</v>
      </c>
      <c r="F9" s="122" t="s">
        <v>79</v>
      </c>
      <c r="G9" s="122"/>
      <c r="H9" s="103"/>
    </row>
    <row r="10" spans="1:8" s="119" customFormat="1" ht="32.1" customHeight="1" x14ac:dyDescent="0.25">
      <c r="A10" s="105"/>
      <c r="B10" s="105" t="s">
        <v>183</v>
      </c>
      <c r="C10" s="105" t="s">
        <v>189</v>
      </c>
      <c r="D10" s="120">
        <v>8</v>
      </c>
      <c r="E10" s="120">
        <v>8</v>
      </c>
      <c r="F10" s="120">
        <v>100</v>
      </c>
      <c r="G10" s="120"/>
      <c r="H10" s="105"/>
    </row>
    <row r="11" spans="1:8" s="119" customFormat="1" ht="32.1" customHeight="1" x14ac:dyDescent="0.25">
      <c r="A11" s="105"/>
      <c r="B11" s="105" t="s">
        <v>175</v>
      </c>
      <c r="C11" s="105" t="s">
        <v>190</v>
      </c>
      <c r="D11" s="120">
        <v>8</v>
      </c>
      <c r="E11" s="120">
        <v>16</v>
      </c>
      <c r="F11" s="120">
        <v>500</v>
      </c>
      <c r="G11" s="120"/>
      <c r="H11" s="105"/>
    </row>
    <row r="12" spans="1:8" s="119" customFormat="1" ht="32.1" customHeight="1" x14ac:dyDescent="0.25">
      <c r="A12" s="105"/>
      <c r="B12" s="105" t="s">
        <v>179</v>
      </c>
      <c r="C12" s="105" t="s">
        <v>189</v>
      </c>
      <c r="D12" s="120">
        <v>2</v>
      </c>
      <c r="E12" s="120">
        <v>8</v>
      </c>
      <c r="F12" s="120">
        <v>50</v>
      </c>
      <c r="G12" s="120"/>
      <c r="H12" s="105"/>
    </row>
    <row r="13" spans="1:8" s="119" customFormat="1" ht="32.1" customHeight="1" x14ac:dyDescent="0.25">
      <c r="A13" s="105"/>
      <c r="B13" s="105" t="s">
        <v>179</v>
      </c>
      <c r="C13" s="105"/>
      <c r="D13" s="105"/>
      <c r="E13" s="105"/>
      <c r="F13" s="105"/>
      <c r="G13" s="105"/>
      <c r="H13" s="105"/>
    </row>
    <row r="14" spans="1:8" s="119" customFormat="1" ht="24" customHeight="1" x14ac:dyDescent="0.25">
      <c r="A14" s="105"/>
      <c r="B14" s="105"/>
      <c r="C14" s="105"/>
      <c r="D14" s="105"/>
      <c r="E14" s="105"/>
      <c r="F14" s="105"/>
      <c r="G14" s="105"/>
      <c r="H14" s="105"/>
    </row>
    <row r="15" spans="1:8" s="119" customFormat="1" ht="32.1" customHeight="1" x14ac:dyDescent="0.25">
      <c r="A15" s="105"/>
      <c r="B15" s="105" t="s">
        <v>160</v>
      </c>
      <c r="C15" s="123">
        <v>43349</v>
      </c>
      <c r="D15" s="105"/>
      <c r="E15" s="105"/>
      <c r="F15" s="105"/>
      <c r="G15" s="105"/>
      <c r="H15" s="105"/>
    </row>
    <row r="19" spans="2:8" ht="15.75" x14ac:dyDescent="0.25">
      <c r="B19" s="103" t="s">
        <v>191</v>
      </c>
      <c r="C19" s="103" t="s">
        <v>85</v>
      </c>
      <c r="D19" s="122" t="s">
        <v>86</v>
      </c>
      <c r="E19" s="122" t="s">
        <v>87</v>
      </c>
      <c r="F19" s="122" t="s">
        <v>79</v>
      </c>
      <c r="G19" s="122"/>
      <c r="H19" s="103"/>
    </row>
    <row r="20" spans="2:8" x14ac:dyDescent="0.25">
      <c r="B20" s="105" t="s">
        <v>183</v>
      </c>
      <c r="C20" s="105" t="s">
        <v>189</v>
      </c>
      <c r="D20" s="120">
        <v>8</v>
      </c>
      <c r="E20" s="120">
        <v>16</v>
      </c>
      <c r="F20" s="120">
        <v>500</v>
      </c>
      <c r="G20" s="120"/>
      <c r="H20" s="105"/>
    </row>
    <row r="21" spans="2:8" x14ac:dyDescent="0.25">
      <c r="B21" s="105" t="s">
        <v>175</v>
      </c>
      <c r="C21" s="105" t="s">
        <v>190</v>
      </c>
      <c r="D21" s="120">
        <v>8</v>
      </c>
      <c r="E21" s="120">
        <v>16</v>
      </c>
      <c r="F21" s="120">
        <v>500</v>
      </c>
      <c r="G21" s="120"/>
      <c r="H21" s="105"/>
    </row>
    <row r="22" spans="2:8" x14ac:dyDescent="0.25">
      <c r="B22" s="105" t="s">
        <v>179</v>
      </c>
      <c r="C22" s="105" t="s">
        <v>189</v>
      </c>
      <c r="D22" s="120">
        <v>2</v>
      </c>
      <c r="E22" s="120">
        <v>8</v>
      </c>
      <c r="F22" s="120">
        <v>50</v>
      </c>
      <c r="G22" s="120"/>
      <c r="H22" s="105"/>
    </row>
    <row r="23" spans="2:8" x14ac:dyDescent="0.25">
      <c r="B23" s="105" t="s">
        <v>192</v>
      </c>
      <c r="C23" s="105" t="s">
        <v>189</v>
      </c>
      <c r="D23" s="120">
        <v>8</v>
      </c>
      <c r="E23" s="120">
        <v>16</v>
      </c>
      <c r="F23" s="120"/>
      <c r="G23" s="105"/>
      <c r="H23" s="105"/>
    </row>
    <row r="24" spans="2:8" x14ac:dyDescent="0.25">
      <c r="D24" s="120"/>
    </row>
  </sheetData>
  <mergeCells count="1">
    <mergeCell ref="B1:E1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A37B51AEAE6842BE1D05D523D1F395" ma:contentTypeVersion="12" ma:contentTypeDescription="Create a new document." ma:contentTypeScope="" ma:versionID="a04a7f368a0e38a33b03fbcd0fb900a0">
  <xsd:schema xmlns:xsd="http://www.w3.org/2001/XMLSchema" xmlns:xs="http://www.w3.org/2001/XMLSchema" xmlns:p="http://schemas.microsoft.com/office/2006/metadata/properties" xmlns:ns2="eb631bdb-169f-43ce-b38c-db94b0a84235" xmlns:ns3="1a8b89a2-2be8-445d-9e3f-f7453d50344b" targetNamespace="http://schemas.microsoft.com/office/2006/metadata/properties" ma:root="true" ma:fieldsID="3867dbaa787d3f98438c5051ebdd7838" ns2:_="" ns3:_="">
    <xsd:import namespace="eb631bdb-169f-43ce-b38c-db94b0a84235"/>
    <xsd:import namespace="1a8b89a2-2be8-445d-9e3f-f7453d503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631bdb-169f-43ce-b38c-db94b0a842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b89a2-2be8-445d-9e3f-f7453d50344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312642-5C3A-45A9-A46A-B3CC3ADCFD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631bdb-169f-43ce-b38c-db94b0a84235"/>
    <ds:schemaRef ds:uri="1a8b89a2-2be8-445d-9e3f-f7453d5034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098C7A-5C86-4DF9-8350-1F5E783CA6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4C7EBB-77BA-4798-ADC4-6C02B57352E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Volume</vt:lpstr>
      <vt:lpstr>Infrastructure</vt:lpstr>
      <vt:lpstr>Hardware costs</vt:lpstr>
      <vt:lpstr>Other vendors 2</vt:lpstr>
      <vt:lpstr>Other vendors specs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Alena Rusakova</cp:lastModifiedBy>
  <cp:revision/>
  <dcterms:created xsi:type="dcterms:W3CDTF">2017-06-29T04:03:17Z</dcterms:created>
  <dcterms:modified xsi:type="dcterms:W3CDTF">2021-06-04T09:11:12Z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0x010100D9A37B51AEAE6842BE1D05D523D1F395</vt:lpwstr>
  </property>
  <property fmtid="{D5CDD505-2E9C-101B-9397-08002B2CF9AE}" pid="3" name="AuthorIds_UIVersion_512">
    <vt:lpwstr>16</vt:lpwstr>
  </property>
  <property fmtid="{D5CDD505-2E9C-101B-9397-08002B2CF9AE}" pid="4" name="AuthorIds_UIVersion_2560">
    <vt:lpwstr>16</vt:lpwstr>
  </property>
</Properties>
</file>