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wf365.sharepoint.com/sites/EnterpriseArchitectureGroup/Shared Documents/Capacity Management/"/>
    </mc:Choice>
  </mc:AlternateContent>
  <xr:revisionPtr revIDLastSave="0" documentId="8_{B3704EB9-5E9E-4227-BDC0-B3460FF1EDA5}" xr6:coauthVersionLast="47" xr6:coauthVersionMax="47" xr10:uidLastSave="{00000000-0000-0000-0000-000000000000}"/>
  <bookViews>
    <workbookView xWindow="-51200" yWindow="-5900" windowWidth="51200" windowHeight="28300" tabRatio="500" firstSheet="1" activeTab="1" xr2:uid="{00000000-000D-0000-FFFF-FFFF00000000}"/>
  </bookViews>
  <sheets>
    <sheet name="Volume" sheetId="10" r:id="rId1"/>
    <sheet name="Infrastructure" sheetId="2" r:id="rId2"/>
    <sheet name="Hardware costs" sheetId="7" r:id="rId3"/>
    <sheet name="Other vendors 2" sheetId="11" state="hidden" r:id="rId4"/>
    <sheet name="Other vendors specs" sheetId="8" state="hidden" r:id="rId5"/>
  </sheets>
  <definedNames>
    <definedName name="_xlnm._FilterDatabase" localSheetId="2" hidden="1">'Hardware costs'!$B$3:$F$16</definedName>
  </definedNames>
  <calcPr calcId="191028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6" i="2" l="1"/>
  <c r="AM9" i="2"/>
  <c r="AM8" i="2"/>
  <c r="AM7" i="2"/>
  <c r="AM5" i="2"/>
  <c r="P12" i="7" l="1"/>
  <c r="B12" i="7"/>
  <c r="E33" i="10"/>
  <c r="E32" i="10"/>
  <c r="E31" i="10"/>
  <c r="E30" i="10"/>
  <c r="E29" i="10"/>
  <c r="E28" i="10"/>
  <c r="D33" i="10"/>
  <c r="D32" i="10"/>
  <c r="D31" i="10"/>
  <c r="D30" i="10"/>
  <c r="D29" i="10"/>
  <c r="D28" i="10"/>
  <c r="E25" i="10"/>
  <c r="D25" i="10"/>
  <c r="AK5" i="2"/>
  <c r="E5" i="2"/>
  <c r="AL10" i="2" l="1"/>
  <c r="F10" i="2"/>
  <c r="B5" i="7"/>
  <c r="P4" i="7"/>
  <c r="P5" i="7"/>
  <c r="B6" i="7"/>
  <c r="P6" i="7"/>
  <c r="B7" i="7"/>
  <c r="P7" i="7"/>
  <c r="B8" i="7"/>
  <c r="P8" i="7"/>
  <c r="B9" i="7"/>
  <c r="P9" i="7"/>
  <c r="B10" i="7"/>
  <c r="P10" i="7"/>
  <c r="B11" i="7"/>
  <c r="P11" i="7"/>
  <c r="B13" i="7"/>
  <c r="P13" i="7"/>
  <c r="B14" i="7"/>
  <c r="P14" i="7"/>
  <c r="B15" i="7"/>
  <c r="P15" i="7"/>
  <c r="P16" i="7"/>
  <c r="AP10" i="2"/>
  <c r="D10" i="10"/>
  <c r="D15" i="10" s="1"/>
  <c r="E15" i="10"/>
  <c r="E37" i="10" s="1"/>
  <c r="E16" i="10"/>
  <c r="F30" i="10" s="1"/>
  <c r="E17" i="10"/>
  <c r="D17" i="10"/>
  <c r="D16" i="10"/>
  <c r="D14" i="10"/>
  <c r="F7" i="10"/>
  <c r="F16" i="10" s="1"/>
  <c r="AY26" i="11"/>
  <c r="AY27" i="11"/>
  <c r="AY18" i="11"/>
  <c r="M19" i="11"/>
  <c r="AY19" i="11"/>
  <c r="AY20" i="11"/>
  <c r="F7" i="2" l="1"/>
  <c r="H7" i="2" s="1"/>
  <c r="Y9" i="2"/>
  <c r="Z6" i="2"/>
  <c r="AD18" i="11"/>
  <c r="AU19" i="11"/>
  <c r="I21" i="11"/>
  <c r="AA21" i="11"/>
  <c r="AR21" i="11"/>
  <c r="F19" i="11"/>
  <c r="E18" i="11"/>
  <c r="K27" i="11"/>
  <c r="AF28" i="11"/>
  <c r="AQ26" i="11"/>
  <c r="U5" i="2"/>
  <c r="F6" i="2"/>
  <c r="H6" i="2" s="1"/>
  <c r="T10" i="2"/>
  <c r="X5" i="2"/>
  <c r="K18" i="11"/>
  <c r="AW20" i="11"/>
  <c r="J27" i="11"/>
  <c r="AR26" i="11"/>
  <c r="U10" i="2"/>
  <c r="AE18" i="11"/>
  <c r="AA20" i="11"/>
  <c r="I26" i="11"/>
  <c r="Z28" i="11"/>
  <c r="T5" i="2"/>
  <c r="F8" i="2"/>
  <c r="H8" i="2" s="1"/>
  <c r="AF19" i="11"/>
  <c r="F18" i="11"/>
  <c r="AE28" i="11"/>
  <c r="T8" i="2"/>
  <c r="F9" i="2"/>
  <c r="H9" i="2" s="1"/>
  <c r="X7" i="2"/>
  <c r="AV19" i="11"/>
  <c r="J21" i="11"/>
  <c r="AQ21" i="11"/>
  <c r="E19" i="11"/>
  <c r="AD27" i="11"/>
  <c r="AU28" i="11"/>
  <c r="AR27" i="11"/>
  <c r="Y7" i="2"/>
  <c r="AF18" i="11"/>
  <c r="AW19" i="11"/>
  <c r="K21" i="11"/>
  <c r="AA19" i="11"/>
  <c r="F20" i="11"/>
  <c r="J26" i="11"/>
  <c r="AE27" i="11"/>
  <c r="AV28" i="11"/>
  <c r="Z27" i="11"/>
  <c r="AQ27" i="11"/>
  <c r="AL7" i="2"/>
  <c r="AN7" i="2" s="1"/>
  <c r="AP7" i="2" s="1"/>
  <c r="Z7" i="2"/>
  <c r="AD21" i="11"/>
  <c r="AW28" i="11"/>
  <c r="AL9" i="2"/>
  <c r="Y8" i="2"/>
  <c r="X8" i="2"/>
  <c r="AV18" i="11"/>
  <c r="J20" i="11"/>
  <c r="AE21" i="11"/>
  <c r="F21" i="11"/>
  <c r="AD26" i="11"/>
  <c r="AU27" i="11"/>
  <c r="AR28" i="11"/>
  <c r="F26" i="11"/>
  <c r="AL6" i="2"/>
  <c r="Y5" i="2"/>
  <c r="AW18" i="11"/>
  <c r="K20" i="11"/>
  <c r="AF21" i="11"/>
  <c r="E21" i="11"/>
  <c r="D21" i="11" s="1"/>
  <c r="N21" i="11" s="1"/>
  <c r="AE26" i="11"/>
  <c r="AV27" i="11"/>
  <c r="AA28" i="11"/>
  <c r="AQ28" i="11"/>
  <c r="E26" i="11"/>
  <c r="AL8" i="2"/>
  <c r="AN8" i="2" s="1"/>
  <c r="E20" i="11"/>
  <c r="AF27" i="11"/>
  <c r="AR18" i="11"/>
  <c r="AF26" i="11"/>
  <c r="AW27" i="11"/>
  <c r="AA27" i="11"/>
  <c r="F27" i="11"/>
  <c r="U7" i="2"/>
  <c r="AL5" i="2"/>
  <c r="I20" i="11"/>
  <c r="Z26" i="11"/>
  <c r="Z5" i="2"/>
  <c r="AU21" i="11"/>
  <c r="T6" i="2"/>
  <c r="AE20" i="11"/>
  <c r="Z21" i="11"/>
  <c r="AR19" i="11"/>
  <c r="AQ18" i="11"/>
  <c r="AU26" i="11"/>
  <c r="I28" i="11"/>
  <c r="AA26" i="11"/>
  <c r="E27" i="11"/>
  <c r="T7" i="2"/>
  <c r="AU18" i="11"/>
  <c r="I19" i="11"/>
  <c r="AA18" i="11"/>
  <c r="K26" i="11"/>
  <c r="Z9" i="2"/>
  <c r="AD20" i="11"/>
  <c r="Z8" i="2"/>
  <c r="J19" i="11"/>
  <c r="AV21" i="11"/>
  <c r="X6" i="2"/>
  <c r="U6" i="2"/>
  <c r="K19" i="11"/>
  <c r="AF20" i="11"/>
  <c r="AW21" i="11"/>
  <c r="Z20" i="11"/>
  <c r="AQ19" i="11"/>
  <c r="AV26" i="11"/>
  <c r="J28" i="11"/>
  <c r="F28" i="11"/>
  <c r="U9" i="2"/>
  <c r="Z10" i="2"/>
  <c r="X9" i="2"/>
  <c r="I18" i="11"/>
  <c r="AD19" i="11"/>
  <c r="AU20" i="11"/>
  <c r="Z19" i="11"/>
  <c r="AR20" i="11"/>
  <c r="AW26" i="11"/>
  <c r="K28" i="11"/>
  <c r="E28" i="11"/>
  <c r="T9" i="2"/>
  <c r="Y10" i="2"/>
  <c r="Y6" i="2"/>
  <c r="J18" i="11"/>
  <c r="AE19" i="11"/>
  <c r="AV20" i="11"/>
  <c r="Z18" i="11"/>
  <c r="AQ20" i="11"/>
  <c r="I27" i="11"/>
  <c r="AD28" i="11"/>
  <c r="U8" i="2"/>
  <c r="F5" i="2"/>
  <c r="H5" i="2" s="1"/>
  <c r="X10" i="2"/>
  <c r="F18" i="10"/>
  <c r="F19" i="10" s="1"/>
  <c r="D38" i="10"/>
  <c r="F32" i="10"/>
  <c r="E38" i="10"/>
  <c r="F28" i="10"/>
  <c r="F33" i="10"/>
  <c r="F13" i="10"/>
  <c r="F14" i="10" s="1"/>
  <c r="F17" i="10"/>
  <c r="F15" i="10"/>
  <c r="F31" i="10"/>
  <c r="F8" i="10"/>
  <c r="F9" i="10"/>
  <c r="F25" i="10"/>
  <c r="F10" i="10"/>
  <c r="H11" i="2" l="1"/>
  <c r="AP8" i="2"/>
  <c r="Y21" i="11"/>
  <c r="S8" i="2"/>
  <c r="S6" i="2"/>
  <c r="AP27" i="11"/>
  <c r="AZ27" i="11" s="1"/>
  <c r="S7" i="2"/>
  <c r="AR29" i="11"/>
  <c r="AP21" i="11"/>
  <c r="AZ21" i="11" s="1"/>
  <c r="BB21" i="11" s="1"/>
  <c r="S10" i="2"/>
  <c r="AP28" i="11"/>
  <c r="AZ28" i="11" s="1"/>
  <c r="AP19" i="11"/>
  <c r="AZ19" i="11" s="1"/>
  <c r="Y20" i="11"/>
  <c r="D19" i="11"/>
  <c r="N19" i="11" s="1"/>
  <c r="Y28" i="11"/>
  <c r="S5" i="2"/>
  <c r="S9" i="2"/>
  <c r="AA22" i="11"/>
  <c r="Y19" i="11"/>
  <c r="AP18" i="11"/>
  <c r="AQ22" i="11"/>
  <c r="AP26" i="11"/>
  <c r="AQ29" i="11"/>
  <c r="D28" i="11"/>
  <c r="N28" i="11" s="1"/>
  <c r="AR22" i="11"/>
  <c r="D18" i="11"/>
  <c r="E22" i="11"/>
  <c r="U11" i="2"/>
  <c r="D20" i="11"/>
  <c r="N20" i="11" s="1"/>
  <c r="F29" i="11"/>
  <c r="T11" i="2"/>
  <c r="Z22" i="11"/>
  <c r="Y18" i="11"/>
  <c r="Y26" i="11"/>
  <c r="Z29" i="11"/>
  <c r="E29" i="11"/>
  <c r="D26" i="11"/>
  <c r="F22" i="11"/>
  <c r="D27" i="11"/>
  <c r="N27" i="11" s="1"/>
  <c r="AP20" i="11"/>
  <c r="AZ20" i="11" s="1"/>
  <c r="AA29" i="11"/>
  <c r="Y27" i="11"/>
  <c r="F38" i="10"/>
  <c r="AN6" i="2" s="1"/>
  <c r="AP6" i="2" s="1"/>
  <c r="D36" i="10"/>
  <c r="E36" i="10"/>
  <c r="D37" i="10"/>
  <c r="F37" i="10" s="1"/>
  <c r="AN9" i="2" s="1"/>
  <c r="AP9" i="2" s="1"/>
  <c r="F29" i="10"/>
  <c r="BB28" i="11" l="1"/>
  <c r="BB27" i="11"/>
  <c r="BB19" i="11"/>
  <c r="Y22" i="11"/>
  <c r="S11" i="2"/>
  <c r="BB20" i="11"/>
  <c r="D29" i="11"/>
  <c r="N26" i="11"/>
  <c r="N18" i="11"/>
  <c r="D22" i="11"/>
  <c r="Y29" i="11"/>
  <c r="AZ26" i="11"/>
  <c r="AZ29" i="11" s="1"/>
  <c r="AP29" i="11"/>
  <c r="AZ18" i="11"/>
  <c r="AZ22" i="11" s="1"/>
  <c r="AP22" i="11"/>
  <c r="F36" i="10"/>
  <c r="AN5" i="2" s="1"/>
  <c r="AP5" i="2" s="1"/>
  <c r="AP11" i="2" s="1"/>
  <c r="BB26" i="11" l="1"/>
  <c r="BB29" i="11" s="1"/>
  <c r="N29" i="11"/>
  <c r="BB18" i="11"/>
  <c r="BB22" i="11" s="1"/>
  <c r="N22" i="11"/>
  <c r="AN11" i="2"/>
</calcChain>
</file>

<file path=xl/sharedStrings.xml><?xml version="1.0" encoding="utf-8"?>
<sst xmlns="http://schemas.openxmlformats.org/spreadsheetml/2006/main" count="397" uniqueCount="186">
  <si>
    <r>
      <t xml:space="preserve">                                    </t>
    </r>
    <r>
      <rPr>
        <b/>
        <sz val="20"/>
        <color theme="1"/>
        <rFont val="Roboto"/>
      </rPr>
      <t>Workers, Agents, Bots Estimation</t>
    </r>
  </si>
  <si>
    <t>Input parameters</t>
  </si>
  <si>
    <t>Category</t>
  </si>
  <si>
    <t>Description</t>
  </si>
  <si>
    <t>Reference</t>
  </si>
  <si>
    <t>Use Case 1</t>
  </si>
  <si>
    <t xml:space="preserve">Total  </t>
  </si>
  <si>
    <t>Current manual process</t>
  </si>
  <si>
    <t>Transactions per hour</t>
  </si>
  <si>
    <t>How much volume needs to be processed per hour?
Use peak volume requirements for not breaching SLA.
Processing one business transaction is often equivalent to processing one document.</t>
  </si>
  <si>
    <t>Pages per transaction</t>
  </si>
  <si>
    <t>How many document pages are analyzed per transaction or document on average?</t>
  </si>
  <si>
    <t>Data fields per transaction</t>
  </si>
  <si>
    <t>How many data fields or data points are derived from documents?</t>
  </si>
  <si>
    <t>Manual handling time (in seconds)</t>
  </si>
  <si>
    <t>How long does it take to complete one transaction manually before automation is introduced?</t>
  </si>
  <si>
    <t>Target automated process</t>
  </si>
  <si>
    <t>Straight Through Processing percentage (STP %)</t>
  </si>
  <si>
    <t>How much volume is processed without manual touch?</t>
  </si>
  <si>
    <t>Manual time per non-STP transaction (in seconds)</t>
  </si>
  <si>
    <t>Average time spent per transaction by SME on non STP document.</t>
  </si>
  <si>
    <t>RPA time per document (in seconds)</t>
  </si>
  <si>
    <t>Average time spent per transaction by RPA</t>
  </si>
  <si>
    <t>OCR time per document (in seconds)</t>
  </si>
  <si>
    <t>Average time spent per transaction by OCR</t>
  </si>
  <si>
    <t>ML time per document (in seconds)</t>
  </si>
  <si>
    <t>Average time spent per transaction by Machine Learning</t>
  </si>
  <si>
    <t>Number of steps in business process</t>
  </si>
  <si>
    <t>Typical process consists of around 20 steps</t>
  </si>
  <si>
    <t>Tower time per step (in seconds)</t>
  </si>
  <si>
    <t>Average time spent per transaction by Control Tower tasks (e.g. ETL, external API calls, etc.).
Typical Tower job takes under 1 second.</t>
  </si>
  <si>
    <t>Derived parameters</t>
  </si>
  <si>
    <t>Total</t>
  </si>
  <si>
    <t>Minimum number of workers before automation</t>
  </si>
  <si>
    <t>SMEs before automation</t>
  </si>
  <si>
    <t>Number of SMEs working in parallel</t>
  </si>
  <si>
    <t>Minimum number of workers in automated process</t>
  </si>
  <si>
    <t>SMEs</t>
  </si>
  <si>
    <t>RPA bots</t>
  </si>
  <si>
    <t>Number of RPA bots working in parallel</t>
  </si>
  <si>
    <t>OCR workers</t>
  </si>
  <si>
    <t>Number of OCR workers working in parallel</t>
  </si>
  <si>
    <t>ML model instances</t>
  </si>
  <si>
    <t>Number of ML model instances working in parallel</t>
  </si>
  <si>
    <t>Control Tower workers</t>
  </si>
  <si>
    <t>Number of Control Tower tasks running in parallel</t>
  </si>
  <si>
    <t>Number of jobs per second</t>
  </si>
  <si>
    <t>Hardware scaling factor</t>
  </si>
  <si>
    <t>Environment utilization</t>
  </si>
  <si>
    <t>How much of shared capactiy (Master, Analytics, MSSQL) is utilized by the use case.
If the number is more than 1, consider multiple deployments.</t>
  </si>
  <si>
    <t>RPA servers</t>
  </si>
  <si>
    <t>Minimum amount of RPA servers needed to handle the volume
up to 500 bots - horizontal scaling
500+ bots - consider multiple deployments</t>
  </si>
  <si>
    <t>BEP Agents</t>
  </si>
  <si>
    <t>Minimum amount of BEP Agent machines needed to handle the volume
up to 4 - horizontal scaling
5+ - consider multiple deployments</t>
  </si>
  <si>
    <t>Base capacity parameters</t>
  </si>
  <si>
    <t>As per https://kb.workfusion.com/display/ID/10.1+Infrastructure+Capacity+Planning</t>
  </si>
  <si>
    <t>Value</t>
  </si>
  <si>
    <t>OCR time per page (seconds)</t>
  </si>
  <si>
    <t>Manual time in WorkSpace per page per field (seconds)</t>
  </si>
  <si>
    <t>ML time per page per field (seconds)</t>
  </si>
  <si>
    <t>Parallel ML prediction workers per reference Agent server</t>
  </si>
  <si>
    <t>Parallel Control Tower Task workers per reference Agent server</t>
  </si>
  <si>
    <t>OCR workers per reference Agent server</t>
  </si>
  <si>
    <t>ML Search Engine trainings per reference Agent server</t>
  </si>
  <si>
    <t>Bots per reference RPA Windows Server</t>
  </si>
  <si>
    <t>Max number of jobs CT-BEP is able to process per second. Similar magnitude to number of concurrent jobs.</t>
  </si>
  <si>
    <t>Agent servers limit</t>
  </si>
  <si>
    <t>RPA Bots limit</t>
  </si>
  <si>
    <t>Simultaneous WorkSpace workers on a reference APP server</t>
  </si>
  <si>
    <t xml:space="preserve">                                     INFRASTRUCTURE SIZE AND COST CALCULATION</t>
  </si>
  <si>
    <t>WorkFusion</t>
  </si>
  <si>
    <t>Development / Pilot</t>
  </si>
  <si>
    <t>UAT</t>
  </si>
  <si>
    <t>Production</t>
  </si>
  <si>
    <t>Total, $</t>
  </si>
  <si>
    <t>Deployment</t>
  </si>
  <si>
    <t>Component</t>
  </si>
  <si>
    <t>Server</t>
  </si>
  <si>
    <t>HDD</t>
  </si>
  <si>
    <t>Cost per unit, $</t>
  </si>
  <si>
    <t>Units</t>
  </si>
  <si>
    <t>Cost, $</t>
  </si>
  <si>
    <t>Server unit, $</t>
  </si>
  <si>
    <t>HDD unit, $</t>
  </si>
  <si>
    <t>OS</t>
  </si>
  <si>
    <t>CPU</t>
  </si>
  <si>
    <t>RAM</t>
  </si>
  <si>
    <t xml:space="preserve">Cost, $ </t>
  </si>
  <si>
    <t>Environment</t>
  </si>
  <si>
    <t>MS Azure</t>
  </si>
  <si>
    <t>Master</t>
  </si>
  <si>
    <t>L-8-32</t>
  </si>
  <si>
    <t>L-4-16</t>
  </si>
  <si>
    <t>High availability</t>
  </si>
  <si>
    <t>No</t>
  </si>
  <si>
    <t>Agent</t>
  </si>
  <si>
    <t>Analytics</t>
  </si>
  <si>
    <t>W-4-16</t>
  </si>
  <si>
    <t>MS SQL</t>
  </si>
  <si>
    <t>S-4-16</t>
  </si>
  <si>
    <t>RPA</t>
  </si>
  <si>
    <t>W-8-16</t>
  </si>
  <si>
    <t>NAS or Shared FS (included into APP server price)</t>
  </si>
  <si>
    <t>L-8-33</t>
  </si>
  <si>
    <t xml:space="preserve"> </t>
  </si>
  <si>
    <t xml:space="preserve">                                 Hardware Costs, $, monthly</t>
  </si>
  <si>
    <t>Name</t>
  </si>
  <si>
    <t>Usage</t>
  </si>
  <si>
    <t>AWS type</t>
  </si>
  <si>
    <t>GCP type</t>
  </si>
  <si>
    <t>MS Azure Type</t>
  </si>
  <si>
    <t>IBM Cloud Type</t>
  </si>
  <si>
    <t>AWS</t>
  </si>
  <si>
    <t>GCP</t>
  </si>
  <si>
    <t>IBM Cloud</t>
  </si>
  <si>
    <t>On-premise</t>
  </si>
  <si>
    <t>L-2-8</t>
  </si>
  <si>
    <t>RHEL</t>
  </si>
  <si>
    <t>m6a.large</t>
  </si>
  <si>
    <t>n2-standard-2</t>
  </si>
  <si>
    <t>B2MS</t>
  </si>
  <si>
    <t>B1.2x8</t>
  </si>
  <si>
    <t>m6a.xlarge</t>
  </si>
  <si>
    <t>n2-standard-4</t>
  </si>
  <si>
    <t>B4MS</t>
  </si>
  <si>
    <t>B1.4x16</t>
  </si>
  <si>
    <t>Master, Agent</t>
  </si>
  <si>
    <t>m6a.2xlarge</t>
  </si>
  <si>
    <t>n2-standard-8</t>
  </si>
  <si>
    <t>B8MS</t>
  </si>
  <si>
    <t>B1.8x32</t>
  </si>
  <si>
    <t>m6a.4xlarge</t>
  </si>
  <si>
    <t>n2-standard-16</t>
  </si>
  <si>
    <t>B16MS</t>
  </si>
  <si>
    <t>B1.16x64</t>
  </si>
  <si>
    <t>unattended bot</t>
  </si>
  <si>
    <t>Win VDI</t>
  </si>
  <si>
    <t>Analytics, attended elastic</t>
  </si>
  <si>
    <t>Win Server</t>
  </si>
  <si>
    <t>Server with 5 RPA bots</t>
  </si>
  <si>
    <t>c6a.2xlarge</t>
  </si>
  <si>
    <t>B1.8x16</t>
  </si>
  <si>
    <t>DB</t>
  </si>
  <si>
    <t>Win SQL Server</t>
  </si>
  <si>
    <t>attended DB, unattended DB</t>
  </si>
  <si>
    <t>HDD-1TB</t>
  </si>
  <si>
    <t>Cost of 1TB disk space</t>
  </si>
  <si>
    <t>1TB of Disk</t>
  </si>
  <si>
    <t>SSD (gp3)</t>
  </si>
  <si>
    <t>SSD</t>
  </si>
  <si>
    <t>SAN</t>
  </si>
  <si>
    <t>Cloud costs</t>
  </si>
  <si>
    <t>Source</t>
  </si>
  <si>
    <t>Last updated</t>
  </si>
  <si>
    <t>AWS source</t>
  </si>
  <si>
    <t>https://calculator.s3.amazonaws.com/index.html</t>
  </si>
  <si>
    <t>GCP source</t>
  </si>
  <si>
    <t>https://cloud.google.com/products/calculator/</t>
  </si>
  <si>
    <t>MS Azure source</t>
  </si>
  <si>
    <t>https://azure.microsoft.com/en-us/pricing/calculator/</t>
  </si>
  <si>
    <t>IBM source</t>
  </si>
  <si>
    <t>https://cloud.ibm.com/gen1/infrastructure/provision/vs</t>
  </si>
  <si>
    <t xml:space="preserve">  Infrustructure Size and Cost Calculation</t>
  </si>
  <si>
    <t>Attended RPA Vendors</t>
  </si>
  <si>
    <t>Development</t>
  </si>
  <si>
    <t>Web App</t>
  </si>
  <si>
    <t>W-4-8</t>
  </si>
  <si>
    <t>200</t>
  </si>
  <si>
    <t>SQL Server</t>
  </si>
  <si>
    <t>S-8-16</t>
  </si>
  <si>
    <t>400</t>
  </si>
  <si>
    <t>ElasticSearch Server</t>
  </si>
  <si>
    <t>Bot</t>
  </si>
  <si>
    <t>50</t>
  </si>
  <si>
    <t>Total RPA</t>
  </si>
  <si>
    <t>Unattended RPA Vendors</t>
  </si>
  <si>
    <t>Control Room</t>
  </si>
  <si>
    <t>W-8-8</t>
  </si>
  <si>
    <t>100</t>
  </si>
  <si>
    <t>500</t>
  </si>
  <si>
    <t>W-2-8</t>
  </si>
  <si>
    <r>
      <t xml:space="preserve">                          </t>
    </r>
    <r>
      <rPr>
        <b/>
        <sz val="20"/>
        <color theme="1"/>
        <rFont val="Roboto"/>
      </rPr>
      <t xml:space="preserve">  Other Vendors</t>
    </r>
  </si>
  <si>
    <t>win</t>
  </si>
  <si>
    <t>sql server</t>
  </si>
  <si>
    <t>A</t>
  </si>
  <si>
    <t>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</si>
</sst>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&quot;$&quot;#,##0"/>
    <numFmt numFmtId="166" formatCode="[$-409]mmmm\ d\,\ yyyy;@"/>
    <numFmt numFmtId="167" formatCode="_(* #,##0_);_(* \(#,##0\);_(* &quot;-&quot;??_);_(@_)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22"/>
      <color theme="4" tint="-0.249977111117893"/>
      <name val="Calibri"/>
      <family val="2"/>
    </font>
    <font>
      <sz val="11"/>
      <color theme="1"/>
      <name val="Roboto"/>
    </font>
    <font>
      <b/>
      <sz val="11"/>
      <color theme="1"/>
      <name val="Roboto"/>
    </font>
    <font>
      <sz val="12"/>
      <color theme="1"/>
      <name val="Roboto"/>
    </font>
    <font>
      <b/>
      <sz val="12"/>
      <color theme="1"/>
      <name val="Roboto"/>
    </font>
    <font>
      <u/>
      <sz val="11"/>
      <color theme="4"/>
      <name val="Roboto"/>
    </font>
    <font>
      <sz val="10"/>
      <color theme="1"/>
      <name val="Roboto"/>
    </font>
    <font>
      <b/>
      <sz val="10"/>
      <color theme="1"/>
      <name val="Roboto"/>
    </font>
    <font>
      <sz val="11"/>
      <color theme="4" tint="0.59999389629810485"/>
      <name val="Roboto"/>
    </font>
    <font>
      <u/>
      <sz val="16"/>
      <color theme="4"/>
      <name val="Roboto"/>
    </font>
    <font>
      <b/>
      <sz val="20"/>
      <color theme="1"/>
      <name val="Roboto"/>
    </font>
    <font>
      <b/>
      <sz val="16"/>
      <color theme="1"/>
      <name val="Roboto"/>
    </font>
    <font>
      <u/>
      <sz val="11"/>
      <color theme="10"/>
      <name val="Roboto"/>
    </font>
    <font>
      <sz val="8"/>
      <name val="Calibri"/>
      <family val="2"/>
      <scheme val="minor"/>
    </font>
    <font>
      <sz val="20"/>
      <color theme="1"/>
      <name val="Roboto"/>
    </font>
    <font>
      <i/>
      <sz val="11"/>
      <color theme="1"/>
      <name val="Roboto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</fills>
  <borders count="1">
    <border>
      <left/>
      <right/>
      <top/>
      <bottom/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60">
    <xf numFmtId="0" fontId="0" fillId="0" borderId="0" xfId="0"/>
    <xf numFmtId="0" fontId="2" fillId="0" borderId="0" xfId="0" applyFont="1"/>
    <xf numFmtId="165" fontId="0" fillId="0" borderId="0" xfId="0" applyNumberFormat="1"/>
    <xf numFmtId="44" fontId="0" fillId="0" borderId="0" xfId="1" applyFont="1"/>
    <xf numFmtId="0" fontId="2" fillId="0" borderId="0" xfId="0" applyFont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left" vertical="center"/>
    </xf>
    <xf numFmtId="0" fontId="2" fillId="3" borderId="0" xfId="0" applyFont="1" applyFill="1"/>
    <xf numFmtId="0" fontId="5" fillId="3" borderId="0" xfId="0" applyFont="1" applyFill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44" fontId="6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1" applyNumberFormat="1" applyFont="1" applyBorder="1" applyAlignment="1">
      <alignment horizontal="right" vertical="center"/>
    </xf>
    <xf numFmtId="0" fontId="6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center" vertical="center"/>
    </xf>
    <xf numFmtId="4" fontId="6" fillId="0" borderId="0" xfId="1" applyNumberFormat="1" applyFont="1" applyBorder="1" applyAlignment="1">
      <alignment horizontal="right" vertical="center"/>
    </xf>
    <xf numFmtId="4" fontId="6" fillId="0" borderId="0" xfId="1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164" fontId="7" fillId="2" borderId="0" xfId="1" applyNumberFormat="1" applyFont="1" applyFill="1" applyBorder="1" applyAlignment="1">
      <alignment horizontal="center" vertical="center"/>
    </xf>
    <xf numFmtId="4" fontId="7" fillId="2" borderId="0" xfId="1" applyNumberFormat="1" applyFont="1" applyFill="1" applyBorder="1" applyAlignment="1">
      <alignment horizontal="right" vertical="center"/>
    </xf>
    <xf numFmtId="4" fontId="7" fillId="2" borderId="0" xfId="1" applyNumberFormat="1" applyFont="1" applyFill="1" applyBorder="1" applyAlignment="1">
      <alignment horizontal="center" vertical="center"/>
    </xf>
    <xf numFmtId="49" fontId="6" fillId="0" borderId="0" xfId="1" applyNumberFormat="1" applyFont="1" applyBorder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1" fontId="6" fillId="0" borderId="0" xfId="0" applyNumberFormat="1" applyFont="1" applyAlignment="1">
      <alignment horizontal="right" vertical="center"/>
    </xf>
    <xf numFmtId="0" fontId="10" fillId="0" borderId="0" xfId="1" applyNumberFormat="1" applyFont="1" applyFill="1" applyBorder="1" applyAlignment="1">
      <alignment horizontal="left" vertical="center"/>
    </xf>
    <xf numFmtId="0" fontId="10" fillId="0" borderId="0" xfId="1" applyNumberFormat="1" applyFont="1" applyBorder="1" applyAlignment="1">
      <alignment horizontal="left" vertical="center"/>
    </xf>
    <xf numFmtId="4" fontId="11" fillId="0" borderId="0" xfId="1" applyNumberFormat="1" applyFont="1" applyBorder="1" applyAlignment="1">
      <alignment horizontal="right" vertical="center"/>
    </xf>
    <xf numFmtId="4" fontId="12" fillId="2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4" fontId="6" fillId="0" borderId="0" xfId="1" applyNumberFormat="1" applyFont="1" applyFill="1" applyBorder="1" applyAlignment="1">
      <alignment horizontal="right" vertical="center"/>
    </xf>
    <xf numFmtId="49" fontId="6" fillId="0" borderId="0" xfId="1" applyNumberFormat="1" applyFont="1" applyFill="1" applyBorder="1" applyAlignment="1">
      <alignment horizontal="right" vertical="center"/>
    </xf>
    <xf numFmtId="4" fontId="11" fillId="0" borderId="0" xfId="1" applyNumberFormat="1" applyFont="1" applyFill="1" applyBorder="1" applyAlignment="1">
      <alignment horizontal="right" vertical="center"/>
    </xf>
    <xf numFmtId="0" fontId="9" fillId="6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  <xf numFmtId="0" fontId="8" fillId="6" borderId="0" xfId="0" applyFont="1" applyFill="1" applyAlignment="1">
      <alignment horizontal="right" vertical="center"/>
    </xf>
    <xf numFmtId="0" fontId="8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right" vertical="center" wrapText="1"/>
    </xf>
    <xf numFmtId="4" fontId="8" fillId="6" borderId="0" xfId="0" applyNumberFormat="1" applyFont="1" applyFill="1" applyAlignment="1">
      <alignment horizontal="right" vertical="center" wrapText="1"/>
    </xf>
    <xf numFmtId="4" fontId="6" fillId="7" borderId="0" xfId="1" applyNumberFormat="1" applyFont="1" applyFill="1" applyBorder="1" applyAlignment="1">
      <alignment horizontal="right" vertical="center"/>
    </xf>
    <xf numFmtId="0" fontId="9" fillId="5" borderId="0" xfId="0" applyFont="1" applyFill="1" applyAlignment="1">
      <alignment vertical="center"/>
    </xf>
    <xf numFmtId="0" fontId="8" fillId="5" borderId="0" xfId="0" applyFont="1" applyFill="1" applyAlignment="1">
      <alignment horizontal="left" vertical="center"/>
    </xf>
    <xf numFmtId="0" fontId="6" fillId="5" borderId="0" xfId="0" applyFont="1" applyFill="1"/>
    <xf numFmtId="0" fontId="8" fillId="6" borderId="0" xfId="0" applyFont="1" applyFill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vertical="center" wrapText="1"/>
    </xf>
    <xf numFmtId="0" fontId="10" fillId="0" borderId="0" xfId="1" applyNumberFormat="1" applyFont="1" applyBorder="1" applyAlignment="1">
      <alignment vertical="center"/>
    </xf>
    <xf numFmtId="0" fontId="7" fillId="7" borderId="0" xfId="0" applyFont="1" applyFill="1" applyAlignment="1">
      <alignment horizontal="left" vertical="center"/>
    </xf>
    <xf numFmtId="4" fontId="7" fillId="7" borderId="0" xfId="1" applyNumberFormat="1" applyFont="1" applyFill="1" applyBorder="1" applyAlignment="1">
      <alignment horizontal="right" vertical="center"/>
    </xf>
    <xf numFmtId="164" fontId="7" fillId="7" borderId="0" xfId="1" applyNumberFormat="1" applyFont="1" applyFill="1" applyBorder="1" applyAlignment="1">
      <alignment horizontal="center" vertical="center"/>
    </xf>
    <xf numFmtId="4" fontId="12" fillId="7" borderId="0" xfId="1" applyNumberFormat="1" applyFont="1" applyFill="1" applyBorder="1" applyAlignment="1">
      <alignment horizontal="right" vertical="center"/>
    </xf>
    <xf numFmtId="4" fontId="13" fillId="2" borderId="0" xfId="1" applyNumberFormat="1" applyFont="1" applyFill="1" applyBorder="1" applyAlignment="1">
      <alignment horizontal="right" vertical="center"/>
    </xf>
    <xf numFmtId="4" fontId="7" fillId="9" borderId="0" xfId="1" applyNumberFormat="1" applyFont="1" applyFill="1" applyBorder="1" applyAlignment="1">
      <alignment horizontal="right" vertical="center"/>
    </xf>
    <xf numFmtId="4" fontId="6" fillId="8" borderId="0" xfId="1" applyNumberFormat="1" applyFont="1" applyFill="1" applyBorder="1" applyAlignment="1">
      <alignment horizontal="right" vertical="center"/>
    </xf>
    <xf numFmtId="4" fontId="7" fillId="4" borderId="0" xfId="1" applyNumberFormat="1" applyFont="1" applyFill="1" applyBorder="1" applyAlignment="1">
      <alignment horizontal="right" vertical="center"/>
    </xf>
    <xf numFmtId="4" fontId="6" fillId="0" borderId="0" xfId="0" applyNumberFormat="1" applyFont="1" applyAlignment="1">
      <alignment horizontal="right"/>
    </xf>
    <xf numFmtId="0" fontId="8" fillId="6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6" borderId="0" xfId="0" applyFont="1" applyFill="1"/>
    <xf numFmtId="0" fontId="8" fillId="5" borderId="0" xfId="0" applyFont="1" applyFill="1"/>
    <xf numFmtId="0" fontId="8" fillId="6" borderId="0" xfId="0" applyFont="1" applyFill="1" applyAlignment="1">
      <alignment horizontal="right"/>
    </xf>
    <xf numFmtId="0" fontId="6" fillId="2" borderId="0" xfId="0" applyFont="1" applyFill="1"/>
    <xf numFmtId="0" fontId="6" fillId="3" borderId="0" xfId="0" applyFont="1" applyFill="1"/>
    <xf numFmtId="0" fontId="6" fillId="3" borderId="0" xfId="0" applyFont="1" applyFill="1" applyAlignment="1">
      <alignment horizontal="left" vertical="center"/>
    </xf>
    <xf numFmtId="0" fontId="3" fillId="3" borderId="0" xfId="10" applyFill="1" applyAlignment="1">
      <alignment horizontal="left"/>
    </xf>
    <xf numFmtId="0" fontId="0" fillId="0" borderId="0" xfId="0" applyAlignment="1">
      <alignment horizontal="center"/>
    </xf>
    <xf numFmtId="165" fontId="6" fillId="0" borderId="0" xfId="0" applyNumberFormat="1" applyFont="1"/>
    <xf numFmtId="44" fontId="6" fillId="0" borderId="0" xfId="1" applyFont="1"/>
    <xf numFmtId="0" fontId="0" fillId="0" borderId="0" xfId="0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44" fontId="6" fillId="0" borderId="0" xfId="1" applyFont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165" fontId="9" fillId="5" borderId="0" xfId="0" applyNumberFormat="1" applyFont="1" applyFill="1" applyAlignment="1">
      <alignment horizontal="left" vertical="center"/>
    </xf>
    <xf numFmtId="4" fontId="6" fillId="0" borderId="0" xfId="1" applyNumberFormat="1" applyFont="1" applyFill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44" fontId="9" fillId="5" borderId="0" xfId="1" applyFont="1" applyFill="1" applyAlignment="1">
      <alignment horizontal="right" vertical="center"/>
    </xf>
    <xf numFmtId="0" fontId="9" fillId="5" borderId="0" xfId="0" applyFont="1" applyFill="1" applyAlignment="1">
      <alignment horizontal="right" vertical="center"/>
    </xf>
    <xf numFmtId="0" fontId="9" fillId="5" borderId="0" xfId="0" applyFont="1" applyFill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165" fontId="6" fillId="0" borderId="0" xfId="0" applyNumberFormat="1" applyFont="1" applyAlignment="1">
      <alignment horizontal="left" vertical="center" indent="1"/>
    </xf>
    <xf numFmtId="44" fontId="6" fillId="0" borderId="0" xfId="1" applyFont="1" applyAlignment="1">
      <alignment horizontal="left" vertical="center" indent="1"/>
    </xf>
    <xf numFmtId="0" fontId="6" fillId="10" borderId="0" xfId="0" applyFont="1" applyFill="1" applyAlignment="1">
      <alignment horizontal="left" vertical="center" indent="1"/>
    </xf>
    <xf numFmtId="0" fontId="6" fillId="10" borderId="0" xfId="0" applyFont="1" applyFill="1" applyAlignment="1">
      <alignment horizontal="left" vertical="center"/>
    </xf>
    <xf numFmtId="0" fontId="6" fillId="10" borderId="0" xfId="0" applyFont="1" applyFill="1" applyAlignment="1">
      <alignment horizontal="right" vertical="center"/>
    </xf>
    <xf numFmtId="165" fontId="6" fillId="10" borderId="0" xfId="0" applyNumberFormat="1" applyFont="1" applyFill="1" applyAlignment="1">
      <alignment horizontal="left" vertical="center"/>
    </xf>
    <xf numFmtId="4" fontId="6" fillId="10" borderId="0" xfId="1" applyNumberFormat="1" applyFont="1" applyFill="1" applyAlignment="1">
      <alignment horizontal="right" vertical="center"/>
    </xf>
    <xf numFmtId="4" fontId="6" fillId="10" borderId="0" xfId="0" applyNumberFormat="1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6" fillId="0" borderId="0" xfId="0" applyFont="1" applyAlignment="1">
      <alignment horizontal="left" indent="1"/>
    </xf>
    <xf numFmtId="0" fontId="17" fillId="0" borderId="0" xfId="1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6" fillId="0" borderId="0" xfId="0" applyFont="1" applyAlignment="1">
      <alignment horizontal="right" vertical="center" indent="1"/>
    </xf>
    <xf numFmtId="0" fontId="9" fillId="5" borderId="0" xfId="0" applyFont="1" applyFill="1" applyAlignment="1">
      <alignment horizontal="right" vertical="center" indent="1"/>
    </xf>
    <xf numFmtId="166" fontId="6" fillId="0" borderId="0" xfId="0" applyNumberFormat="1" applyFont="1" applyAlignment="1">
      <alignment horizontal="left" vertical="center" indent="1"/>
    </xf>
    <xf numFmtId="0" fontId="14" fillId="0" borderId="0" xfId="0" applyFont="1" applyAlignment="1">
      <alignment vertical="center"/>
    </xf>
    <xf numFmtId="1" fontId="6" fillId="0" borderId="0" xfId="1" applyNumberFormat="1" applyFont="1" applyBorder="1" applyAlignment="1">
      <alignment horizontal="right" vertical="center"/>
    </xf>
    <xf numFmtId="1" fontId="6" fillId="0" borderId="0" xfId="1" applyNumberFormat="1" applyFont="1" applyFill="1" applyBorder="1" applyAlignment="1">
      <alignment horizontal="right" vertical="center"/>
    </xf>
    <xf numFmtId="0" fontId="6" fillId="11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top" indent="1"/>
    </xf>
    <xf numFmtId="0" fontId="6" fillId="0" borderId="0" xfId="0" applyFont="1" applyAlignment="1">
      <alignment horizontal="left" vertical="top" wrapText="1" indent="1"/>
    </xf>
    <xf numFmtId="1" fontId="6" fillId="0" borderId="0" xfId="0" applyNumberFormat="1" applyFont="1" applyAlignment="1">
      <alignment horizontal="right" vertical="top" indent="1"/>
    </xf>
    <xf numFmtId="0" fontId="7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top"/>
    </xf>
    <xf numFmtId="0" fontId="9" fillId="6" borderId="0" xfId="0" applyFont="1" applyFill="1" applyAlignment="1">
      <alignment horizontal="left" vertical="center" wrapText="1" indent="1"/>
    </xf>
    <xf numFmtId="1" fontId="6" fillId="0" borderId="0" xfId="0" applyNumberFormat="1" applyFont="1" applyAlignment="1">
      <alignment horizontal="left" vertical="top" indent="1"/>
    </xf>
    <xf numFmtId="0" fontId="9" fillId="0" borderId="0" xfId="0" applyFont="1" applyAlignment="1">
      <alignment horizontal="left" vertical="center" indent="1"/>
    </xf>
    <xf numFmtId="0" fontId="9" fillId="6" borderId="0" xfId="0" applyFont="1" applyFill="1" applyAlignment="1">
      <alignment vertical="center" wrapText="1"/>
    </xf>
    <xf numFmtId="0" fontId="9" fillId="12" borderId="0" xfId="0" applyFont="1" applyFill="1" applyAlignment="1">
      <alignment horizontal="left" vertical="center" wrapText="1" indent="1"/>
    </xf>
    <xf numFmtId="1" fontId="6" fillId="12" borderId="0" xfId="0" applyNumberFormat="1" applyFont="1" applyFill="1" applyAlignment="1">
      <alignment horizontal="right" vertical="top" indent="1"/>
    </xf>
    <xf numFmtId="0" fontId="9" fillId="13" borderId="0" xfId="0" applyFont="1" applyFill="1" applyAlignment="1">
      <alignment horizontal="left" vertical="center" wrapText="1" indent="1"/>
    </xf>
    <xf numFmtId="0" fontId="7" fillId="12" borderId="0" xfId="0" applyFont="1" applyFill="1" applyAlignment="1">
      <alignment horizontal="left" vertical="center" wrapText="1" indent="1"/>
    </xf>
    <xf numFmtId="0" fontId="7" fillId="13" borderId="0" xfId="0" applyFont="1" applyFill="1" applyAlignment="1">
      <alignment horizontal="left" vertical="center" wrapText="1" indent="1"/>
    </xf>
    <xf numFmtId="167" fontId="6" fillId="0" borderId="0" xfId="13" applyNumberFormat="1" applyFont="1" applyAlignment="1">
      <alignment horizontal="right" vertical="top" indent="1"/>
    </xf>
    <xf numFmtId="167" fontId="6" fillId="12" borderId="0" xfId="13" applyNumberFormat="1" applyFont="1" applyFill="1" applyAlignment="1">
      <alignment horizontal="right" vertical="top" indent="1"/>
    </xf>
    <xf numFmtId="4" fontId="7" fillId="14" borderId="0" xfId="1" applyNumberFormat="1" applyFont="1" applyFill="1" applyBorder="1" applyAlignment="1">
      <alignment horizontal="right" vertical="center"/>
    </xf>
    <xf numFmtId="0" fontId="6" fillId="14" borderId="0" xfId="0" applyFont="1" applyFill="1"/>
    <xf numFmtId="0" fontId="6" fillId="14" borderId="0" xfId="0" applyFont="1" applyFill="1" applyAlignment="1">
      <alignment horizontal="left"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0" fontId="10" fillId="0" borderId="0" xfId="1" applyNumberFormat="1" applyFont="1" applyBorder="1" applyAlignment="1">
      <alignment horizontal="right" vertical="center"/>
    </xf>
    <xf numFmtId="0" fontId="10" fillId="0" borderId="0" xfId="1" applyNumberFormat="1" applyFont="1" applyFill="1" applyBorder="1" applyAlignment="1">
      <alignment horizontal="right" vertical="center"/>
    </xf>
    <xf numFmtId="164" fontId="7" fillId="2" borderId="0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3" fillId="0" borderId="0" xfId="10" applyAlignment="1">
      <alignment horizontal="left" vertical="center" indent="1"/>
    </xf>
    <xf numFmtId="2" fontId="6" fillId="0" borderId="0" xfId="0" applyNumberFormat="1" applyFont="1" applyAlignment="1">
      <alignment horizontal="right" vertical="top" indent="1"/>
    </xf>
    <xf numFmtId="2" fontId="6" fillId="12" borderId="0" xfId="0" applyNumberFormat="1" applyFont="1" applyFill="1" applyAlignment="1">
      <alignment horizontal="right" vertical="top" indent="1"/>
    </xf>
    <xf numFmtId="0" fontId="16" fillId="0" borderId="0" xfId="0" applyFont="1" applyAlignment="1">
      <alignment horizontal="left" vertical="center"/>
    </xf>
    <xf numFmtId="0" fontId="7" fillId="6" borderId="0" xfId="0" applyFont="1" applyFill="1" applyAlignment="1">
      <alignment horizontal="left" vertical="center" wrapText="1" indent="1"/>
    </xf>
    <xf numFmtId="0" fontId="14" fillId="0" borderId="0" xfId="0" applyFont="1" applyAlignment="1">
      <alignment horizontal="right" vertical="center"/>
    </xf>
    <xf numFmtId="0" fontId="9" fillId="5" borderId="0" xfId="0" applyFont="1" applyFill="1" applyAlignment="1">
      <alignment horizontal="center" vertical="center"/>
    </xf>
    <xf numFmtId="0" fontId="9" fillId="9" borderId="0" xfId="0" applyFont="1" applyFill="1" applyAlignment="1">
      <alignment horizontal="right" vertical="center"/>
    </xf>
    <xf numFmtId="0" fontId="0" fillId="0" borderId="0" xfId="0" applyAlignment="1">
      <alignment horizontal="center" vertical="center"/>
    </xf>
    <xf numFmtId="4" fontId="20" fillId="10" borderId="0" xfId="1" applyNumberFormat="1" applyFont="1" applyFill="1" applyAlignment="1">
      <alignment horizontal="right" vertical="center"/>
    </xf>
    <xf numFmtId="1" fontId="9" fillId="13" borderId="0" xfId="0" applyNumberFormat="1" applyFont="1" applyFill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/>
    </xf>
    <xf numFmtId="0" fontId="3" fillId="3" borderId="0" xfId="10" applyFill="1" applyAlignment="1">
      <alignment horizontal="left" vertical="top"/>
    </xf>
    <xf numFmtId="0" fontId="7" fillId="6" borderId="0" xfId="0" applyFont="1" applyFill="1" applyAlignment="1">
      <alignment horizontal="left" vertical="center" wrapText="1" indent="1"/>
    </xf>
    <xf numFmtId="0" fontId="6" fillId="0" borderId="0" xfId="0" applyFont="1" applyAlignment="1">
      <alignment horizontal="left" wrapText="1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9" fillId="13" borderId="0" xfId="0" applyFont="1" applyFill="1" applyAlignment="1">
      <alignment horizontal="right" vertical="center"/>
    </xf>
    <xf numFmtId="0" fontId="9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left" vertical="center" indent="1"/>
    </xf>
    <xf numFmtId="0" fontId="9" fillId="5" borderId="0" xfId="0" applyFont="1" applyFill="1" applyAlignment="1">
      <alignment horizontal="left" vertical="center"/>
    </xf>
    <xf numFmtId="166" fontId="6" fillId="0" borderId="0" xfId="0" applyNumberFormat="1" applyFont="1" applyAlignment="1">
      <alignment horizontal="left" vertical="center"/>
    </xf>
    <xf numFmtId="0" fontId="9" fillId="9" borderId="0" xfId="0" applyFont="1" applyFill="1" applyAlignment="1">
      <alignment horizontal="right" vertical="center"/>
    </xf>
    <xf numFmtId="0" fontId="0" fillId="0" borderId="0" xfId="0" applyAlignment="1">
      <alignment horizontal="center" vertical="center"/>
    </xf>
  </cellXfs>
  <cellStyles count="14">
    <cellStyle name="Comma" xfId="13" builtinId="3"/>
    <cellStyle name="Currency" xfId="1" builtinId="4"/>
    <cellStyle name="Followed Hyperlink" xfId="12" builtinId="9" hidden="1"/>
    <cellStyle name="Followed Hyperlink" xfId="11" builtinId="9" hidden="1"/>
    <cellStyle name="Followed Hyperlink" xfId="7" builtinId="9" hidden="1"/>
    <cellStyle name="Followed Hyperlink" xfId="9" builtinId="9" hidden="1"/>
    <cellStyle name="Followed Hyperlink" xfId="3" builtinId="9" hidden="1"/>
    <cellStyle name="Followed Hyperlink" xfId="5" builtinId="9" hidden="1"/>
    <cellStyle name="Hyperlink" xfId="8" builtinId="8" hidden="1"/>
    <cellStyle name="Hyperlink" xfId="6" builtinId="8" hidden="1"/>
    <cellStyle name="Hyperlink" xfId="4" builtinId="8" hidden="1"/>
    <cellStyle name="Hyperlink" xfId="2" builtinId="8" hidden="1"/>
    <cellStyle name="Hyperlink" xfId="10" builtinId="8"/>
    <cellStyle name="Normal" xfId="0" builtinId="0"/>
  </cellStyles>
  <dxfs count="0"/>
  <tableStyles count="0" defaultTableStyle="TableStyleMedium9" defaultPivotStyle="PivotStyleMedium7"/>
  <colors>
    <mruColors>
      <color rgb="FFFFF2CC"/>
      <color rgb="FFFCE4D6"/>
      <color rgb="FFF4B084"/>
      <color rgb="FFF8CBAD"/>
      <color rgb="FFCDCDFF"/>
      <color rgb="FFAEA0FF"/>
      <color rgb="FFFD6B21"/>
      <color rgb="FFEA5F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196143</xdr:colOff>
      <xdr:row>0</xdr:row>
      <xdr:rowOff>172156</xdr:rowOff>
    </xdr:from>
    <xdr:ext cx="1822054" cy="429590"/>
    <xdr:pic>
      <xdr:nvPicPr>
        <xdr:cNvPr id="2" name="Picture 1">
          <a:extLst>
            <a:ext uri="{FF2B5EF4-FFF2-40B4-BE49-F238E27FC236}">
              <a16:creationId xmlns:a16="http://schemas.microsoft.com/office/drawing/2014/main" id="{6E8AE03C-5C83-0C4C-9DBB-FF2BDA8F5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143" y="172156"/>
          <a:ext cx="1822054" cy="42959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192983</xdr:colOff>
      <xdr:row>0</xdr:row>
      <xdr:rowOff>162425</xdr:rowOff>
    </xdr:from>
    <xdr:ext cx="1822054" cy="42959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83" y="162425"/>
          <a:ext cx="1822054" cy="42959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33616</xdr:colOff>
      <xdr:row>0</xdr:row>
      <xdr:rowOff>168087</xdr:rowOff>
    </xdr:from>
    <xdr:ext cx="1822054" cy="429590"/>
    <xdr:pic>
      <xdr:nvPicPr>
        <xdr:cNvPr id="3" name="Picture 2">
          <a:extLst>
            <a:ext uri="{FF2B5EF4-FFF2-40B4-BE49-F238E27FC236}">
              <a16:creationId xmlns:a16="http://schemas.microsoft.com/office/drawing/2014/main" id="{0EDA324C-B81C-5147-BF08-2C7CD04CC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675" y="168087"/>
          <a:ext cx="1822054" cy="42959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192983</xdr:colOff>
      <xdr:row>0</xdr:row>
      <xdr:rowOff>162425</xdr:rowOff>
    </xdr:from>
    <xdr:ext cx="1822054" cy="429590"/>
    <xdr:pic>
      <xdr:nvPicPr>
        <xdr:cNvPr id="2" name="Picture 1">
          <a:extLst>
            <a:ext uri="{FF2B5EF4-FFF2-40B4-BE49-F238E27FC236}">
              <a16:creationId xmlns:a16="http://schemas.microsoft.com/office/drawing/2014/main" id="{6A861B97-52DF-2E47-AE63-21B13E7D6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983" y="162425"/>
          <a:ext cx="1822054" cy="42959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254000</xdr:rowOff>
    </xdr:from>
    <xdr:ext cx="2086832" cy="352588"/>
    <xdr:pic>
      <xdr:nvPicPr>
        <xdr:cNvPr id="2" name="Picture 1" descr="WorkFusion.eps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19" t="31832"/>
        <a:stretch/>
      </xdr:blipFill>
      <xdr:spPr>
        <a:xfrm>
          <a:off x="203200" y="254000"/>
          <a:ext cx="2086832" cy="3525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kb.workfusion.com/display/ID/10.1+Infrastructure+Capacity+Planning" TargetMode="External"/><Relationship Id="rId1" Type="http://schemas.openxmlformats.org/officeDocument/2006/relationships/hyperlink" Target="https://kb.workfusion.com/display/ID/Infrastructure+Capacity+Plann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ibm.com/gen1/infrastructure/provision/vs" TargetMode="External"/><Relationship Id="rId2" Type="http://schemas.openxmlformats.org/officeDocument/2006/relationships/hyperlink" Target="https://cloud.google.com/products/calculator/" TargetMode="External"/><Relationship Id="rId1" Type="http://schemas.openxmlformats.org/officeDocument/2006/relationships/hyperlink" Target="https://calculator.s3.amazonaws.com/index.html" TargetMode="External"/><Relationship Id="rId5" Type="http://schemas.openxmlformats.org/officeDocument/2006/relationships/drawing" Target="../drawings/drawing3.xml"/><Relationship Id="rId4" Type="http://schemas.openxmlformats.org/officeDocument/2006/relationships/hyperlink" Target="https://azure.microsoft.com/en-us/pricing/calculator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C9707-2FF3-9441-B1C6-6C02CB32CFD5}">
  <sheetPr>
    <tabColor rgb="FFFD6B21"/>
  </sheetPr>
  <dimension ref="A1:G61"/>
  <sheetViews>
    <sheetView showGridLines="0" zoomScaleNormal="100" workbookViewId="0">
      <pane ySplit="1" topLeftCell="A2" activePane="bottomLeft" state="frozen"/>
      <selection pane="bottomLeft" activeCell="F7" sqref="F7"/>
    </sheetView>
  </sheetViews>
  <sheetFormatPr defaultColWidth="10.85546875" defaultRowHeight="15" outlineLevelCol="1"/>
  <cols>
    <col min="1" max="1" width="2.7109375" style="5" customWidth="1"/>
    <col min="2" max="2" width="43.85546875" style="5" customWidth="1"/>
    <col min="3" max="3" width="50.85546875" style="5" customWidth="1" outlineLevel="1"/>
    <col min="4" max="6" width="13.85546875" style="6" customWidth="1"/>
    <col min="7" max="16384" width="10.85546875" style="5"/>
  </cols>
  <sheetData>
    <row r="1" spans="1:7" ht="60" customHeight="1">
      <c r="B1" s="8" t="s">
        <v>0</v>
      </c>
      <c r="C1" s="8"/>
      <c r="D1" s="8"/>
      <c r="E1" s="8"/>
      <c r="F1" s="8"/>
    </row>
    <row r="2" spans="1:7" ht="15" customHeight="1">
      <c r="A2" s="70"/>
      <c r="B2" s="70"/>
      <c r="C2" s="70"/>
      <c r="D2" s="71"/>
      <c r="E2" s="71"/>
      <c r="F2" s="71"/>
    </row>
    <row r="3" spans="1:7" s="7" customFormat="1" ht="39" customHeight="1">
      <c r="A3" s="9"/>
      <c r="B3" s="146" t="s">
        <v>1</v>
      </c>
      <c r="C3" s="146"/>
      <c r="D3" s="138"/>
      <c r="E3" s="138"/>
      <c r="F3" s="138"/>
    </row>
    <row r="4" spans="1:7" s="7" customFormat="1" ht="32.1" customHeight="1">
      <c r="A4" s="9"/>
      <c r="B4" s="85" t="s">
        <v>2</v>
      </c>
      <c r="C4" s="85" t="s">
        <v>3</v>
      </c>
      <c r="D4" s="102" t="s">
        <v>4</v>
      </c>
      <c r="E4" s="102" t="s">
        <v>5</v>
      </c>
      <c r="F4" s="145" t="s">
        <v>6</v>
      </c>
    </row>
    <row r="5" spans="1:7" s="7" customFormat="1" ht="32.1" customHeight="1">
      <c r="A5" s="9"/>
      <c r="B5" s="149" t="s">
        <v>7</v>
      </c>
      <c r="C5" s="149"/>
      <c r="D5" s="117"/>
      <c r="E5" s="114"/>
      <c r="F5" s="145"/>
    </row>
    <row r="6" spans="1:7" s="1" customFormat="1" ht="9.9499999999999993" customHeight="1">
      <c r="A6" s="9"/>
      <c r="B6" s="108"/>
      <c r="C6" s="108"/>
      <c r="D6" s="108"/>
      <c r="E6" s="108"/>
      <c r="F6" s="118"/>
      <c r="G6" s="7"/>
    </row>
    <row r="7" spans="1:7" s="7" customFormat="1" ht="80.099999999999994" customHeight="1">
      <c r="A7" s="9"/>
      <c r="B7" s="109" t="s">
        <v>8</v>
      </c>
      <c r="C7" s="110" t="s">
        <v>9</v>
      </c>
      <c r="D7" s="123">
        <v>0</v>
      </c>
      <c r="E7" s="123">
        <v>500</v>
      </c>
      <c r="F7" s="124">
        <f>SUM(D7:E7)</f>
        <v>500</v>
      </c>
    </row>
    <row r="8" spans="1:7" s="7" customFormat="1" ht="39.950000000000003" customHeight="1">
      <c r="A8" s="9"/>
      <c r="B8" s="109" t="s">
        <v>10</v>
      </c>
      <c r="C8" s="110" t="s">
        <v>11</v>
      </c>
      <c r="D8" s="111">
        <v>2</v>
      </c>
      <c r="E8" s="111">
        <v>1</v>
      </c>
      <c r="F8" s="119">
        <f>SUMPRODUCT(D8:E8,D$7:E$7)/F$7</f>
        <v>1</v>
      </c>
    </row>
    <row r="9" spans="1:7" s="7" customFormat="1" ht="39.950000000000003" customHeight="1">
      <c r="A9" s="9"/>
      <c r="B9" s="109" t="s">
        <v>12</v>
      </c>
      <c r="C9" s="110" t="s">
        <v>13</v>
      </c>
      <c r="D9" s="111">
        <v>5</v>
      </c>
      <c r="E9" s="111">
        <v>1</v>
      </c>
      <c r="F9" s="119">
        <f>SUMPRODUCT(D9:E9,D$7:E$7)/F$7</f>
        <v>1</v>
      </c>
    </row>
    <row r="10" spans="1:7" s="7" customFormat="1" ht="39.950000000000003" customHeight="1">
      <c r="A10" s="9"/>
      <c r="B10" s="110" t="s">
        <v>14</v>
      </c>
      <c r="C10" s="110" t="s">
        <v>15</v>
      </c>
      <c r="D10" s="111">
        <f>60*2.5</f>
        <v>150</v>
      </c>
      <c r="E10" s="111">
        <v>100</v>
      </c>
      <c r="F10" s="119">
        <f>SUMPRODUCT(D10:E10,D$7:E$7)/F$7</f>
        <v>100</v>
      </c>
    </row>
    <row r="11" spans="1:7" s="7" customFormat="1" ht="30.95" customHeight="1">
      <c r="A11" s="9"/>
      <c r="B11" s="149" t="s">
        <v>16</v>
      </c>
      <c r="C11" s="149"/>
      <c r="D11" s="114"/>
      <c r="E11" s="114"/>
      <c r="F11" s="120"/>
    </row>
    <row r="12" spans="1:7" s="1" customFormat="1" ht="9.9499999999999993" customHeight="1">
      <c r="A12" s="9"/>
      <c r="B12" s="108"/>
      <c r="C12" s="108"/>
      <c r="D12" s="108"/>
      <c r="E12" s="108"/>
      <c r="F12" s="118"/>
      <c r="G12" s="7"/>
    </row>
    <row r="13" spans="1:7" s="7" customFormat="1" ht="39.950000000000003" customHeight="1">
      <c r="A13" s="9"/>
      <c r="B13" s="109" t="s">
        <v>17</v>
      </c>
      <c r="C13" s="110" t="s">
        <v>18</v>
      </c>
      <c r="D13" s="111">
        <v>0</v>
      </c>
      <c r="E13" s="111">
        <v>0</v>
      </c>
      <c r="F13" s="119">
        <f>SUMPRODUCT(D13:E13,D$7:E$7)/F$7</f>
        <v>0</v>
      </c>
    </row>
    <row r="14" spans="1:7" s="7" customFormat="1" ht="39.950000000000003" customHeight="1">
      <c r="A14" s="9"/>
      <c r="B14" s="109" t="s">
        <v>19</v>
      </c>
      <c r="C14" s="110" t="s">
        <v>20</v>
      </c>
      <c r="D14" s="111">
        <f>D$8*D$9*$C$45</f>
        <v>50</v>
      </c>
      <c r="E14" s="111">
        <v>10</v>
      </c>
      <c r="F14" s="119">
        <f>IF(F$13=100, 0, SUMPRODUCT(D14:E14,D$7:E$7,(100-D$13:E$13)/100) / (F$7*(100-F$13)/100))</f>
        <v>10</v>
      </c>
    </row>
    <row r="15" spans="1:7" s="7" customFormat="1" ht="32.1" customHeight="1">
      <c r="A15" s="9"/>
      <c r="B15" s="109" t="s">
        <v>21</v>
      </c>
      <c r="C15" s="110" t="s">
        <v>22</v>
      </c>
      <c r="D15" s="111">
        <f>D$10*0.3</f>
        <v>45</v>
      </c>
      <c r="E15" s="111">
        <f>E$10*0.3</f>
        <v>30</v>
      </c>
      <c r="F15" s="119">
        <f>SUMPRODUCT(D15:E15,D$7:E$7)/F$7</f>
        <v>30</v>
      </c>
    </row>
    <row r="16" spans="1:7" s="7" customFormat="1" ht="32.1" customHeight="1">
      <c r="A16" s="9"/>
      <c r="B16" s="109" t="s">
        <v>23</v>
      </c>
      <c r="C16" s="110" t="s">
        <v>24</v>
      </c>
      <c r="D16" s="111">
        <f>D$8*$C$44</f>
        <v>30</v>
      </c>
      <c r="E16" s="111">
        <f>E$8*$C$44</f>
        <v>15</v>
      </c>
      <c r="F16" s="119">
        <f>SUMPRODUCT(D16:E16,D$7:E$7)/F$7</f>
        <v>15</v>
      </c>
    </row>
    <row r="17" spans="1:7" s="7" customFormat="1" ht="33" customHeight="1">
      <c r="A17" s="9"/>
      <c r="B17" s="109" t="s">
        <v>25</v>
      </c>
      <c r="C17" s="110" t="s">
        <v>26</v>
      </c>
      <c r="D17" s="111">
        <f>D$8*D$9*$C$46</f>
        <v>20</v>
      </c>
      <c r="E17" s="111">
        <f>E$8*E$9*$C$46</f>
        <v>2</v>
      </c>
      <c r="F17" s="119">
        <f>SUMPRODUCT(D17:E17,D$7:E$7)/F$7</f>
        <v>2</v>
      </c>
    </row>
    <row r="18" spans="1:7" s="7" customFormat="1" ht="33" customHeight="1">
      <c r="A18" s="9"/>
      <c r="B18" s="109" t="s">
        <v>27</v>
      </c>
      <c r="C18" s="110" t="s">
        <v>28</v>
      </c>
      <c r="D18" s="111">
        <v>20</v>
      </c>
      <c r="E18" s="111">
        <v>20</v>
      </c>
      <c r="F18" s="119">
        <f>SUMPRODUCT(D18:E18,D$7:E$7)/F$7</f>
        <v>20</v>
      </c>
    </row>
    <row r="19" spans="1:7" s="7" customFormat="1" ht="60" customHeight="1">
      <c r="A19" s="9"/>
      <c r="B19" s="109" t="s">
        <v>29</v>
      </c>
      <c r="C19" s="110" t="s">
        <v>30</v>
      </c>
      <c r="D19" s="111">
        <v>1</v>
      </c>
      <c r="E19" s="111">
        <v>1</v>
      </c>
      <c r="F19" s="119">
        <f>SUMPRODUCT(D19:E19,D$7:E$7,D$18:E$18) / (F$7*F$18)</f>
        <v>1</v>
      </c>
    </row>
    <row r="20" spans="1:7" s="7" customFormat="1" ht="15" customHeight="1">
      <c r="A20" s="9"/>
      <c r="B20" s="126"/>
      <c r="C20" s="126"/>
      <c r="D20" s="127"/>
      <c r="E20" s="127"/>
      <c r="F20" s="127"/>
    </row>
    <row r="21" spans="1:7" s="7" customFormat="1" ht="39" customHeight="1">
      <c r="A21" s="70"/>
      <c r="B21" s="128" t="s">
        <v>31</v>
      </c>
      <c r="C21" s="128"/>
      <c r="D21" s="128"/>
      <c r="E21" s="128"/>
      <c r="F21" s="1"/>
    </row>
    <row r="22" spans="1:7" s="7" customFormat="1" ht="39" customHeight="1">
      <c r="A22" s="70"/>
      <c r="B22" s="85" t="s">
        <v>2</v>
      </c>
      <c r="C22" s="85" t="s">
        <v>3</v>
      </c>
      <c r="D22" s="102"/>
      <c r="E22" s="102"/>
      <c r="F22" s="145" t="s">
        <v>32</v>
      </c>
    </row>
    <row r="23" spans="1:7" s="7" customFormat="1" ht="30.95" customHeight="1">
      <c r="A23" s="70"/>
      <c r="B23" s="149" t="s">
        <v>33</v>
      </c>
      <c r="C23" s="149"/>
      <c r="D23" s="114"/>
      <c r="E23" s="139"/>
      <c r="F23" s="145"/>
    </row>
    <row r="24" spans="1:7" s="1" customFormat="1" ht="9.9499999999999993" customHeight="1">
      <c r="A24" s="9"/>
      <c r="B24" s="112"/>
      <c r="C24" s="112"/>
      <c r="D24" s="112"/>
      <c r="E24" s="112"/>
      <c r="F24" s="121"/>
      <c r="G24" s="7"/>
    </row>
    <row r="25" spans="1:7" s="7" customFormat="1" ht="41.1" customHeight="1">
      <c r="A25" s="109"/>
      <c r="B25" s="109" t="s">
        <v>34</v>
      </c>
      <c r="C25" s="110" t="s">
        <v>35</v>
      </c>
      <c r="D25" s="111">
        <f>D$7*D$10/(60*60)</f>
        <v>0</v>
      </c>
      <c r="E25" s="111">
        <f>E$7*E$10/(60*60)</f>
        <v>13.888888888888889</v>
      </c>
      <c r="F25" s="119">
        <f>SUM(D25:E25)</f>
        <v>13.888888888888889</v>
      </c>
    </row>
    <row r="26" spans="1:7" s="7" customFormat="1" ht="30.95" customHeight="1">
      <c r="A26" s="70"/>
      <c r="B26" s="149" t="s">
        <v>36</v>
      </c>
      <c r="C26" s="149"/>
      <c r="D26" s="139"/>
      <c r="E26" s="139"/>
      <c r="F26" s="122"/>
    </row>
    <row r="27" spans="1:7" s="1" customFormat="1" ht="9.9499999999999993" customHeight="1">
      <c r="A27" s="9"/>
      <c r="B27" s="112"/>
      <c r="C27" s="112"/>
      <c r="D27" s="112"/>
      <c r="E27" s="112"/>
      <c r="F27" s="121"/>
    </row>
    <row r="28" spans="1:7" s="7" customFormat="1" ht="41.1" customHeight="1">
      <c r="A28" s="109"/>
      <c r="B28" s="109" t="s">
        <v>37</v>
      </c>
      <c r="C28" s="110" t="s">
        <v>35</v>
      </c>
      <c r="D28" s="111">
        <f>D$7*D14*(1 - D$13/100)/(60*60)</f>
        <v>0</v>
      </c>
      <c r="E28" s="111">
        <f>E$7*E14*(1 - E$13/100)/(60*60)</f>
        <v>1.3888888888888888</v>
      </c>
      <c r="F28" s="119">
        <f>SUM(D28:E28)</f>
        <v>1.3888888888888888</v>
      </c>
    </row>
    <row r="29" spans="1:7" s="7" customFormat="1" ht="59.1" customHeight="1">
      <c r="A29" s="109"/>
      <c r="B29" s="109" t="s">
        <v>38</v>
      </c>
      <c r="C29" s="110" t="s">
        <v>39</v>
      </c>
      <c r="D29" s="111">
        <f t="shared" ref="D29:E31" si="0">D$7*D15/(60*60)</f>
        <v>0</v>
      </c>
      <c r="E29" s="111">
        <f t="shared" si="0"/>
        <v>4.166666666666667</v>
      </c>
      <c r="F29" s="119">
        <f t="shared" ref="F29:F33" si="1">SUM(D29:E29)</f>
        <v>4.166666666666667</v>
      </c>
    </row>
    <row r="30" spans="1:7" s="7" customFormat="1" ht="39.950000000000003" customHeight="1">
      <c r="A30" s="109"/>
      <c r="B30" s="109" t="s">
        <v>40</v>
      </c>
      <c r="C30" s="110" t="s">
        <v>41</v>
      </c>
      <c r="D30" s="111">
        <f t="shared" si="0"/>
        <v>0</v>
      </c>
      <c r="E30" s="111">
        <f t="shared" si="0"/>
        <v>2.0833333333333335</v>
      </c>
      <c r="F30" s="119">
        <f t="shared" si="1"/>
        <v>2.0833333333333335</v>
      </c>
    </row>
    <row r="31" spans="1:7" s="7" customFormat="1" ht="39.950000000000003" customHeight="1">
      <c r="A31" s="109"/>
      <c r="B31" s="109" t="s">
        <v>42</v>
      </c>
      <c r="C31" s="110" t="s">
        <v>43</v>
      </c>
      <c r="D31" s="111">
        <f t="shared" si="0"/>
        <v>0</v>
      </c>
      <c r="E31" s="111">
        <f t="shared" si="0"/>
        <v>0.27777777777777779</v>
      </c>
      <c r="F31" s="119">
        <f t="shared" si="1"/>
        <v>0.27777777777777779</v>
      </c>
    </row>
    <row r="32" spans="1:7" s="7" customFormat="1" ht="39.950000000000003" customHeight="1">
      <c r="A32" s="109"/>
      <c r="B32" s="109" t="s">
        <v>44</v>
      </c>
      <c r="C32" s="110" t="s">
        <v>45</v>
      </c>
      <c r="D32" s="111">
        <f>D$7*D$18*D$19/(60*60)</f>
        <v>0</v>
      </c>
      <c r="E32" s="111">
        <f>E$7*E$18*E$19/(60*60)</f>
        <v>2.7777777777777777</v>
      </c>
      <c r="F32" s="119">
        <f t="shared" si="1"/>
        <v>2.7777777777777777</v>
      </c>
    </row>
    <row r="33" spans="1:7" s="7" customFormat="1" ht="39.950000000000003" customHeight="1">
      <c r="A33" s="109"/>
      <c r="B33" s="109" t="s">
        <v>46</v>
      </c>
      <c r="C33" s="110"/>
      <c r="D33" s="111">
        <f>D$7*D18/(60*60)</f>
        <v>0</v>
      </c>
      <c r="E33" s="111">
        <f>E$7*E18/(60*60)</f>
        <v>2.7777777777777777</v>
      </c>
      <c r="F33" s="119">
        <f t="shared" si="1"/>
        <v>2.7777777777777777</v>
      </c>
    </row>
    <row r="34" spans="1:7" s="7" customFormat="1" ht="32.1" customHeight="1">
      <c r="A34" s="9"/>
      <c r="B34" s="149" t="s">
        <v>47</v>
      </c>
      <c r="C34" s="149"/>
      <c r="D34" s="139"/>
      <c r="E34" s="114"/>
      <c r="F34" s="122"/>
    </row>
    <row r="35" spans="1:7" s="1" customFormat="1" ht="9.9499999999999993" customHeight="1">
      <c r="A35" s="9"/>
      <c r="B35" s="108"/>
      <c r="C35" s="108"/>
      <c r="D35" s="108"/>
      <c r="E35" s="108"/>
      <c r="F35" s="118"/>
      <c r="G35" s="7"/>
    </row>
    <row r="36" spans="1:7" s="7" customFormat="1" ht="99.95" customHeight="1">
      <c r="A36" s="9"/>
      <c r="B36" s="109" t="s">
        <v>48</v>
      </c>
      <c r="C36" s="110" t="s">
        <v>49</v>
      </c>
      <c r="D36" s="136">
        <f>SUM(D$28/$C$55, D$33/$C$52, D$38/$C$53, D$29/$C$54, 0)</f>
        <v>0</v>
      </c>
      <c r="E36" s="136">
        <f>SUM(E$28/$C$55, E$33/$C$52, E$38/$C$53, E$29/$C$54, 0)</f>
        <v>5.9325396825396823E-2</v>
      </c>
      <c r="F36" s="137">
        <f>SUM(D36:E36)</f>
        <v>5.9325396825396823E-2</v>
      </c>
    </row>
    <row r="37" spans="1:7" s="7" customFormat="1" ht="99.95" customHeight="1">
      <c r="A37" s="9"/>
      <c r="B37" s="109" t="s">
        <v>50</v>
      </c>
      <c r="C37" s="110" t="s">
        <v>51</v>
      </c>
      <c r="D37" s="136">
        <f>D$29/$C$51</f>
        <v>0</v>
      </c>
      <c r="E37" s="136">
        <f>E$29/$C$51</f>
        <v>0.83333333333333337</v>
      </c>
      <c r="F37" s="137">
        <f>SUM(D37:E37)</f>
        <v>0.83333333333333337</v>
      </c>
    </row>
    <row r="38" spans="1:7" s="7" customFormat="1" ht="99.95" customHeight="1">
      <c r="A38" s="9"/>
      <c r="B38" s="109" t="s">
        <v>52</v>
      </c>
      <c r="C38" s="110" t="s">
        <v>53</v>
      </c>
      <c r="D38" s="136">
        <f>D$31/$C$47 + D$32/$C$48 + D$30/$C$49</f>
        <v>0</v>
      </c>
      <c r="E38" s="136">
        <f>E$31/$C$47 + E$32/$C$48 + E$30/$C$49</f>
        <v>0.43650793650793651</v>
      </c>
      <c r="F38" s="137">
        <f>SUM(D38:E38)</f>
        <v>0.43650793650793651</v>
      </c>
    </row>
    <row r="39" spans="1:7" s="7" customFormat="1" ht="15" customHeight="1">
      <c r="A39" s="9"/>
      <c r="B39" s="126"/>
      <c r="C39" s="126"/>
      <c r="D39" s="127"/>
      <c r="E39" s="127"/>
      <c r="F39" s="127"/>
    </row>
    <row r="40" spans="1:7" s="7" customFormat="1" ht="32.1" customHeight="1">
      <c r="A40" s="70"/>
      <c r="B40" s="72"/>
      <c r="C40" s="72"/>
      <c r="D40" s="71"/>
      <c r="E40" s="71"/>
      <c r="F40" s="71"/>
    </row>
    <row r="41" spans="1:7" s="7" customFormat="1" ht="39.950000000000003" customHeight="1">
      <c r="A41" s="113"/>
      <c r="B41" s="147" t="s">
        <v>54</v>
      </c>
      <c r="C41" s="147"/>
      <c r="D41" s="147"/>
    </row>
    <row r="42" spans="1:7" s="7" customFormat="1" ht="30.95" customHeight="1">
      <c r="A42" s="70"/>
      <c r="B42" s="148" t="s">
        <v>55</v>
      </c>
      <c r="C42" s="148"/>
      <c r="D42" s="71"/>
      <c r="E42" s="71"/>
      <c r="F42" s="71"/>
    </row>
    <row r="43" spans="1:7" s="7" customFormat="1" ht="32.1" customHeight="1">
      <c r="A43" s="113"/>
      <c r="B43" s="85" t="s">
        <v>2</v>
      </c>
      <c r="C43" s="79" t="s">
        <v>56</v>
      </c>
    </row>
    <row r="44" spans="1:7" s="7" customFormat="1" ht="32.1" customHeight="1">
      <c r="A44" s="113"/>
      <c r="B44" s="110" t="s">
        <v>57</v>
      </c>
      <c r="C44" s="115">
        <v>15</v>
      </c>
    </row>
    <row r="45" spans="1:7" s="7" customFormat="1" ht="32.1" customHeight="1">
      <c r="A45" s="113"/>
      <c r="B45" s="110" t="s">
        <v>58</v>
      </c>
      <c r="C45" s="115">
        <v>5</v>
      </c>
    </row>
    <row r="46" spans="1:7" s="7" customFormat="1" ht="32.1" customHeight="1">
      <c r="A46" s="113"/>
      <c r="B46" s="110" t="s">
        <v>59</v>
      </c>
      <c r="C46" s="115">
        <v>2</v>
      </c>
    </row>
    <row r="47" spans="1:7" s="7" customFormat="1" ht="32.1" customHeight="1">
      <c r="A47" s="113"/>
      <c r="B47" s="110" t="s">
        <v>60</v>
      </c>
      <c r="C47" s="115">
        <v>7</v>
      </c>
    </row>
    <row r="48" spans="1:7" s="7" customFormat="1" ht="32.1" customHeight="1">
      <c r="A48" s="113"/>
      <c r="B48" s="110" t="s">
        <v>61</v>
      </c>
      <c r="C48" s="115">
        <v>28</v>
      </c>
    </row>
    <row r="49" spans="1:6" s="7" customFormat="1" ht="32.1" customHeight="1">
      <c r="A49" s="113"/>
      <c r="B49" s="110" t="s">
        <v>62</v>
      </c>
      <c r="C49" s="115">
        <v>7</v>
      </c>
    </row>
    <row r="50" spans="1:6" s="7" customFormat="1" ht="32.1" customHeight="1">
      <c r="A50" s="113"/>
      <c r="B50" s="110" t="s">
        <v>63</v>
      </c>
      <c r="C50" s="115">
        <v>2</v>
      </c>
    </row>
    <row r="51" spans="1:6" s="7" customFormat="1" ht="32.1" customHeight="1">
      <c r="A51" s="113"/>
      <c r="B51" s="110" t="s">
        <v>64</v>
      </c>
      <c r="C51" s="115">
        <v>5</v>
      </c>
    </row>
    <row r="52" spans="1:6" s="7" customFormat="1" ht="32.1" customHeight="1">
      <c r="A52" s="113"/>
      <c r="B52" s="110" t="s">
        <v>65</v>
      </c>
      <c r="C52" s="115">
        <v>100</v>
      </c>
    </row>
    <row r="53" spans="1:6" s="7" customFormat="1" ht="32.1" customHeight="1">
      <c r="A53" s="113"/>
      <c r="B53" s="110" t="s">
        <v>66</v>
      </c>
      <c r="C53" s="115">
        <v>20</v>
      </c>
    </row>
    <row r="54" spans="1:6" s="7" customFormat="1" ht="32.1" customHeight="1">
      <c r="A54" s="113"/>
      <c r="B54" s="110" t="s">
        <v>67</v>
      </c>
      <c r="C54" s="115">
        <v>500</v>
      </c>
    </row>
    <row r="55" spans="1:6" s="7" customFormat="1" ht="32.1" customHeight="1">
      <c r="A55" s="113"/>
      <c r="B55" s="110" t="s">
        <v>68</v>
      </c>
      <c r="C55" s="115">
        <v>1000</v>
      </c>
    </row>
    <row r="56" spans="1:6" s="7" customFormat="1" ht="15" customHeight="1">
      <c r="A56" s="9"/>
      <c r="B56" s="9"/>
      <c r="C56" s="9"/>
      <c r="D56" s="12"/>
      <c r="E56" s="12"/>
      <c r="F56" s="12"/>
    </row>
    <row r="57" spans="1:6" ht="15" customHeight="1">
      <c r="A57" s="9"/>
      <c r="B57" s="9"/>
      <c r="C57" s="9"/>
      <c r="D57" s="12"/>
      <c r="E57" s="12"/>
      <c r="F57" s="12"/>
    </row>
    <row r="58" spans="1:6">
      <c r="A58" s="9"/>
      <c r="B58" s="9"/>
      <c r="C58" s="9"/>
      <c r="D58" s="12"/>
      <c r="E58" s="12"/>
      <c r="F58" s="12"/>
    </row>
    <row r="59" spans="1:6">
      <c r="A59" s="9"/>
      <c r="B59" s="9"/>
      <c r="C59" s="9"/>
      <c r="D59" s="12"/>
      <c r="E59" s="12"/>
      <c r="F59" s="12"/>
    </row>
    <row r="60" spans="1:6">
      <c r="A60"/>
      <c r="B60"/>
      <c r="C60"/>
      <c r="D60" s="76"/>
      <c r="E60" s="76"/>
      <c r="F60" s="76"/>
    </row>
    <row r="61" spans="1:6">
      <c r="A61"/>
      <c r="B61"/>
      <c r="C61"/>
      <c r="D61" s="76"/>
      <c r="E61" s="76"/>
      <c r="F61" s="76"/>
    </row>
  </sheetData>
  <mergeCells count="10">
    <mergeCell ref="F4:F5"/>
    <mergeCell ref="F22:F23"/>
    <mergeCell ref="B3:C3"/>
    <mergeCell ref="B41:D41"/>
    <mergeCell ref="B42:C42"/>
    <mergeCell ref="B5:C5"/>
    <mergeCell ref="B11:C11"/>
    <mergeCell ref="B23:C23"/>
    <mergeCell ref="B26:C26"/>
    <mergeCell ref="B34:C34"/>
  </mergeCells>
  <hyperlinks>
    <hyperlink ref="B42" r:id="rId1" display="As per https://kb.workfusion.com/display/ID/Infrastructure+Capacity+Planning" xr:uid="{21CA3A75-DC25-D94C-B991-A059051D9C5A}"/>
    <hyperlink ref="B42:C42" r:id="rId2" display="As per https://kb.workfusion.com/display/ID/10.1+Infrastructure+Capacity+Planning" xr:uid="{A2389752-A693-F945-BC2C-A03B8F936677}"/>
  </hyperlinks>
  <pageMargins left="0.7" right="0.7" top="0.75" bottom="0.75" header="0.3" footer="0.3"/>
  <pageSetup orientation="portrait" horizontalDpi="0" verticalDpi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D6B21"/>
  </sheetPr>
  <dimension ref="A1:AZ94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ColWidth="8.85546875" defaultRowHeight="15" outlineLevelCol="1"/>
  <cols>
    <col min="1" max="2" width="3" style="1" customWidth="1"/>
    <col min="3" max="3" width="24.85546875" style="1" customWidth="1"/>
    <col min="4" max="4" width="8.28515625" style="134" hidden="1" customWidth="1" outlineLevel="1"/>
    <col min="5" max="5" width="6.7109375" style="1" hidden="1" customWidth="1" outlineLevel="1"/>
    <col min="6" max="6" width="15.85546875" style="1" hidden="1" customWidth="1" outlineLevel="1"/>
    <col min="7" max="7" width="6.7109375" style="4" customWidth="1" collapsed="1"/>
    <col min="8" max="8" width="11.7109375" style="1" customWidth="1"/>
    <col min="9" max="9" width="5.85546875" style="1" customWidth="1"/>
    <col min="10" max="18" width="11.85546875" style="1" hidden="1" customWidth="1"/>
    <col min="19" max="19" width="15.7109375" style="1" hidden="1" customWidth="1" outlineLevel="1"/>
    <col min="20" max="20" width="16.85546875" style="1" hidden="1" customWidth="1" outlineLevel="1"/>
    <col min="21" max="21" width="13.28515625" style="1" hidden="1" customWidth="1" outlineLevel="1"/>
    <col min="22" max="22" width="5.85546875" style="1" hidden="1" customWidth="1" outlineLevel="1"/>
    <col min="23" max="23" width="14.7109375" style="1" hidden="1" customWidth="1" outlineLevel="1"/>
    <col min="24" max="24" width="14.42578125" style="1" hidden="1" customWidth="1" outlineLevel="1"/>
    <col min="25" max="25" width="7.140625" style="1" hidden="1" customWidth="1" outlineLevel="1"/>
    <col min="26" max="26" width="7.7109375" style="1" hidden="1" customWidth="1" outlineLevel="1"/>
    <col min="27" max="27" width="8.7109375" style="1" hidden="1" customWidth="1" outlineLevel="1"/>
    <col min="28" max="28" width="12.140625" style="1" hidden="1" customWidth="1" collapsed="1"/>
    <col min="29" max="35" width="12.140625" style="1" hidden="1" customWidth="1"/>
    <col min="36" max="36" width="8.28515625" style="1" hidden="1" customWidth="1" outlineLevel="1"/>
    <col min="37" max="37" width="6.7109375" style="1" hidden="1" customWidth="1" outlineLevel="1"/>
    <col min="38" max="38" width="15.85546875" style="1" hidden="1" customWidth="1" outlineLevel="1"/>
    <col min="39" max="39" width="6.7109375" style="1" customWidth="1" collapsed="1"/>
    <col min="40" max="40" width="11.7109375" style="1" customWidth="1"/>
    <col min="41" max="41" width="4.7109375" style="1" customWidth="1"/>
    <col min="42" max="42" width="14.28515625" style="1" customWidth="1"/>
    <col min="43" max="43" width="2.85546875" style="1" customWidth="1"/>
    <col min="44" max="44" width="5.85546875" style="1" customWidth="1"/>
    <col min="45" max="47" width="8.85546875" style="1"/>
    <col min="48" max="48" width="8.85546875" style="1" customWidth="1"/>
    <col min="49" max="16384" width="8.85546875" style="1"/>
  </cols>
  <sheetData>
    <row r="1" spans="1:52" ht="60" customHeight="1">
      <c r="B1" s="8" t="s">
        <v>69</v>
      </c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</row>
    <row r="2" spans="1:52" ht="11.1" customHeight="1">
      <c r="B2" s="18"/>
      <c r="C2" s="18"/>
      <c r="D2" s="129"/>
      <c r="E2" s="19"/>
      <c r="F2" s="19"/>
      <c r="G2" s="20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9"/>
      <c r="AW2"/>
      <c r="AX2"/>
      <c r="AY2"/>
      <c r="AZ2"/>
    </row>
    <row r="3" spans="1:52" ht="32.1" customHeight="1">
      <c r="B3" s="46"/>
      <c r="C3" s="46" t="s">
        <v>70</v>
      </c>
      <c r="D3" s="156" t="s">
        <v>71</v>
      </c>
      <c r="E3" s="156"/>
      <c r="F3" s="156"/>
      <c r="G3" s="156"/>
      <c r="H3" s="156"/>
      <c r="I3" s="156"/>
      <c r="J3" s="141"/>
      <c r="K3" s="141"/>
      <c r="L3" s="141"/>
      <c r="M3" s="141"/>
      <c r="N3" s="141"/>
      <c r="O3" s="141"/>
      <c r="P3" s="141"/>
      <c r="Q3" s="141"/>
      <c r="R3" s="141"/>
      <c r="S3" s="154" t="s">
        <v>72</v>
      </c>
      <c r="T3" s="154"/>
      <c r="U3" s="154"/>
      <c r="V3" s="154"/>
      <c r="W3" s="154"/>
      <c r="X3" s="154"/>
      <c r="Y3" s="154"/>
      <c r="Z3" s="154"/>
      <c r="AA3" s="154"/>
      <c r="AB3" s="141"/>
      <c r="AC3" s="141"/>
      <c r="AD3" s="141"/>
      <c r="AE3" s="141"/>
      <c r="AF3" s="141"/>
      <c r="AG3" s="141"/>
      <c r="AH3" s="141"/>
      <c r="AI3" s="141"/>
      <c r="AJ3" s="155" t="s">
        <v>73</v>
      </c>
      <c r="AK3" s="155"/>
      <c r="AL3" s="155"/>
      <c r="AM3" s="155"/>
      <c r="AN3" s="155"/>
      <c r="AO3" s="47"/>
      <c r="AP3" s="153" t="s">
        <v>74</v>
      </c>
      <c r="AQ3" s="142"/>
      <c r="AR3" s="9"/>
      <c r="AS3" s="85" t="s">
        <v>75</v>
      </c>
      <c r="AT3" s="85"/>
      <c r="AU3" s="85"/>
      <c r="AV3" s="85"/>
      <c r="AW3"/>
      <c r="AX3"/>
      <c r="AY3"/>
      <c r="AZ3"/>
    </row>
    <row r="4" spans="1:52" ht="32.1" customHeight="1">
      <c r="B4" s="38"/>
      <c r="C4" s="39" t="s">
        <v>76</v>
      </c>
      <c r="D4" s="40" t="s">
        <v>77</v>
      </c>
      <c r="E4" s="40" t="s">
        <v>78</v>
      </c>
      <c r="F4" s="40" t="s">
        <v>79</v>
      </c>
      <c r="G4" s="40" t="s">
        <v>80</v>
      </c>
      <c r="H4" s="40" t="s">
        <v>81</v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 t="s">
        <v>79</v>
      </c>
      <c r="T4" s="40" t="s">
        <v>82</v>
      </c>
      <c r="U4" s="40" t="s">
        <v>83</v>
      </c>
      <c r="V4" s="41"/>
      <c r="W4" s="42" t="s">
        <v>77</v>
      </c>
      <c r="X4" s="39" t="s">
        <v>84</v>
      </c>
      <c r="Y4" s="40" t="s">
        <v>85</v>
      </c>
      <c r="Z4" s="43" t="s">
        <v>86</v>
      </c>
      <c r="AA4" s="43" t="s">
        <v>78</v>
      </c>
      <c r="AB4" s="40"/>
      <c r="AC4" s="40"/>
      <c r="AD4" s="40"/>
      <c r="AE4" s="40"/>
      <c r="AF4" s="40"/>
      <c r="AG4" s="40"/>
      <c r="AH4" s="40"/>
      <c r="AI4" s="40"/>
      <c r="AJ4" s="40" t="s">
        <v>77</v>
      </c>
      <c r="AK4" s="43" t="s">
        <v>78</v>
      </c>
      <c r="AL4" s="40" t="s">
        <v>79</v>
      </c>
      <c r="AM4" s="40" t="s">
        <v>80</v>
      </c>
      <c r="AN4" s="44" t="s">
        <v>87</v>
      </c>
      <c r="AO4" s="44"/>
      <c r="AP4" s="153"/>
      <c r="AQ4" s="142"/>
      <c r="AR4" s="9"/>
      <c r="AS4" s="86" t="s">
        <v>88</v>
      </c>
      <c r="AT4" s="104"/>
      <c r="AU4" s="152" t="s">
        <v>89</v>
      </c>
      <c r="AV4" s="152"/>
      <c r="AW4" s="104"/>
      <c r="AX4"/>
      <c r="AY4"/>
      <c r="AZ4"/>
    </row>
    <row r="5" spans="1:52" ht="24" customHeight="1">
      <c r="B5" s="16"/>
      <c r="C5" s="17" t="s">
        <v>90</v>
      </c>
      <c r="D5" s="130" t="s">
        <v>91</v>
      </c>
      <c r="E5" s="105">
        <f>750+E$10</f>
        <v>1000</v>
      </c>
      <c r="F5" s="21">
        <f>(INDEX('Hardware costs'!$L$4:$P$16, MATCH(Infrastructure!D5, 'Hardware costs'!$B$4:$B$16,0), MATCH(Infrastructure!$AU$4, 'Hardware costs'!$L$3:$P$3,0))+INDEX('Hardware costs'!$L$16:$P$16, 1, MATCH(Infrastructure!$AU$4, 'Hardware costs'!$L$3:$P$3,0))*E5/1000)*12</f>
        <v>5108.0399999999991</v>
      </c>
      <c r="G5" s="13">
        <v>1</v>
      </c>
      <c r="H5" s="35">
        <f>G5*F5</f>
        <v>5108.0399999999991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32">
        <f>T5+U5</f>
        <v>2382.96</v>
      </c>
      <c r="T5" s="32">
        <f>VLOOKUP($W5,'Hardware costs'!$B$4:$W$16,MATCH($AU$4,'Hardware costs'!$B$3:$W$3, 0),FALSE) * 12</f>
        <v>2260.08</v>
      </c>
      <c r="U5" s="32">
        <f>AA5/1000*VLOOKUP("HDD-1TB",'Hardware costs'!$B$4:$W$16,MATCH($AU$4,'Hardware costs'!$B$3:$W$3, 0),FALSE) * 12</f>
        <v>122.88</v>
      </c>
      <c r="V5" s="32"/>
      <c r="W5" s="31" t="s">
        <v>92</v>
      </c>
      <c r="X5" s="34" t="str">
        <f>VLOOKUP($W5,'Hardware costs'!$B$4:$N$16,3,FALSE)</f>
        <v>RHEL</v>
      </c>
      <c r="Y5" s="13">
        <f>VLOOKUP($W5,'Hardware costs'!$B$4:$N$16,4,FALSE)</f>
        <v>4</v>
      </c>
      <c r="Z5" s="13">
        <f>VLOOKUP($W5,'Hardware costs'!$B$4:$N$16,5,FALSE)</f>
        <v>16</v>
      </c>
      <c r="AA5" s="14">
        <v>250</v>
      </c>
      <c r="AB5" s="21"/>
      <c r="AC5" s="21"/>
      <c r="AD5" s="21"/>
      <c r="AE5" s="21"/>
      <c r="AF5" s="21"/>
      <c r="AG5" s="21"/>
      <c r="AH5" s="21"/>
      <c r="AI5" s="21"/>
      <c r="AJ5" s="131" t="s">
        <v>91</v>
      </c>
      <c r="AK5" s="105">
        <f>750+AK$10</f>
        <v>1000</v>
      </c>
      <c r="AL5" s="21">
        <f>(INDEX('Hardware costs'!$L$4:$P$16, MATCH(Infrastructure!AJ5, 'Hardware costs'!$B$4:$B$16,0), MATCH(Infrastructure!$AU$4, 'Hardware costs'!$L$3:$P$3,0))+INDEX('Hardware costs'!$L$16:$P$16, 1, MATCH(Infrastructure!$AU$4, 'Hardware costs'!$L$3:$P$3,0))*AK5/1000)*12</f>
        <v>5108.0399999999991</v>
      </c>
      <c r="AM5" s="14">
        <f>IF($AU$5="Yes", 3, 1)</f>
        <v>1</v>
      </c>
      <c r="AN5" s="21">
        <f>AM5*AL5</f>
        <v>5108.0399999999991</v>
      </c>
      <c r="AO5" s="35"/>
      <c r="AP5" s="60">
        <f t="shared" ref="AP5:AP9" si="0">H5+AN5</f>
        <v>10216.079999999998</v>
      </c>
      <c r="AQ5" s="60"/>
      <c r="AR5" s="9"/>
      <c r="AS5" s="86" t="s">
        <v>93</v>
      </c>
      <c r="AT5"/>
      <c r="AU5" s="152" t="s">
        <v>94</v>
      </c>
      <c r="AV5" s="152"/>
      <c r="AW5" s="104"/>
      <c r="AX5"/>
      <c r="AY5"/>
      <c r="AZ5"/>
    </row>
    <row r="6" spans="1:52" ht="24" customHeight="1">
      <c r="B6" s="16"/>
      <c r="C6" s="17" t="s">
        <v>95</v>
      </c>
      <c r="D6" s="131" t="s">
        <v>91</v>
      </c>
      <c r="E6" s="29">
        <v>150</v>
      </c>
      <c r="F6" s="21">
        <f>(INDEX('Hardware costs'!$L$4:$P$16, MATCH(Infrastructure!D6, 'Hardware costs'!$B$4:$B$16,0), MATCH(Infrastructure!$AU$4, 'Hardware costs'!$L$3:$P$3,0))+INDEX('Hardware costs'!$L$16:$P$16, 1, MATCH(Infrastructure!$AU$4, 'Hardware costs'!$L$3:$P$3,0))*E6/1000)*12</f>
        <v>4690.2479999999996</v>
      </c>
      <c r="G6" s="13">
        <v>1</v>
      </c>
      <c r="H6" s="35">
        <f>G6*F6</f>
        <v>4690.2479999999996</v>
      </c>
      <c r="I6" s="35"/>
      <c r="J6" s="35"/>
      <c r="K6" s="35"/>
      <c r="L6" s="35"/>
      <c r="M6" s="35"/>
      <c r="N6" s="35"/>
      <c r="O6" s="35"/>
      <c r="P6" s="35"/>
      <c r="Q6" s="35"/>
      <c r="R6" s="35"/>
      <c r="S6" s="37">
        <f>T6+U6</f>
        <v>4641.0959999999995</v>
      </c>
      <c r="T6" s="32">
        <f>VLOOKUP($W6,'Hardware costs'!$B$4:$W$16,MATCH($AU$4,'Hardware costs'!$B$3:$W$3, 0),FALSE) * 12</f>
        <v>4616.5199999999995</v>
      </c>
      <c r="U6" s="32">
        <f>AA6/1000*VLOOKUP("HDD-1TB",'Hardware costs'!$B$4:$W$16,MATCH($AU$4,'Hardware costs'!$B$3:$W$3, 0),FALSE) * 12</f>
        <v>24.576000000000001</v>
      </c>
      <c r="V6" s="37"/>
      <c r="W6" s="30" t="s">
        <v>91</v>
      </c>
      <c r="X6" s="34" t="str">
        <f>VLOOKUP($W6,'Hardware costs'!$B$4:$N$16,3,FALSE)</f>
        <v>RHEL</v>
      </c>
      <c r="Y6" s="13">
        <f>VLOOKUP($W6,'Hardware costs'!$B$4:$N$16,4,FALSE)</f>
        <v>8</v>
      </c>
      <c r="Z6" s="13">
        <f>VLOOKUP($W6,'Hardware costs'!$B$4:$N$16,5,FALSE)</f>
        <v>32</v>
      </c>
      <c r="AA6" s="13">
        <v>50</v>
      </c>
      <c r="AB6" s="35"/>
      <c r="AC6" s="35"/>
      <c r="AD6" s="35"/>
      <c r="AE6" s="35"/>
      <c r="AF6" s="35"/>
      <c r="AG6" s="35"/>
      <c r="AH6" s="35"/>
      <c r="AI6" s="35"/>
      <c r="AJ6" s="131" t="s">
        <v>91</v>
      </c>
      <c r="AK6" s="13">
        <v>150</v>
      </c>
      <c r="AL6" s="21">
        <f>(INDEX('Hardware costs'!$L$4:$P$16, MATCH(Infrastructure!AJ6, 'Hardware costs'!$B$4:$B$16,0), MATCH(Infrastructure!$AU$4, 'Hardware costs'!$L$3:$P$3,0))+INDEX('Hardware costs'!$L$16:$P$16, 1, MATCH(Infrastructure!$AU$4, 'Hardware costs'!$L$3:$P$3,0))*AK6/1000)*12</f>
        <v>4690.2479999999996</v>
      </c>
      <c r="AM6" s="105">
        <f>MAX(ROUNDUP(Volume!$F$38,0), IF($AU$5="Yes", 3, 1))</f>
        <v>1</v>
      </c>
      <c r="AN6" s="21">
        <f>AM6*AL6</f>
        <v>4690.2479999999996</v>
      </c>
      <c r="AO6" s="35"/>
      <c r="AP6" s="60">
        <f>H6+AN6</f>
        <v>9380.4959999999992</v>
      </c>
      <c r="AQ6" s="60"/>
      <c r="AR6" s="9"/>
      <c r="AS6"/>
      <c r="AT6"/>
      <c r="AU6"/>
      <c r="AV6"/>
      <c r="AW6"/>
      <c r="AX6"/>
    </row>
    <row r="7" spans="1:52" ht="24" customHeight="1">
      <c r="B7" s="16"/>
      <c r="C7" s="17" t="s">
        <v>96</v>
      </c>
      <c r="D7" s="131" t="s">
        <v>97</v>
      </c>
      <c r="E7" s="29">
        <v>150</v>
      </c>
      <c r="F7" s="21">
        <f>(INDEX('Hardware costs'!$L$4:$P$16, MATCH(Infrastructure!D7, 'Hardware costs'!$B$4:$B$16,0), MATCH(Infrastructure!$AU$4, 'Hardware costs'!$L$3:$P$3,0))+INDEX('Hardware costs'!$L$16:$P$16, 1, MATCH(Infrastructure!$AU$4, 'Hardware costs'!$L$3:$P$3,0))*E7/1000)*12</f>
        <v>1948.3679999999999</v>
      </c>
      <c r="G7" s="13">
        <v>1</v>
      </c>
      <c r="H7" s="35">
        <f t="shared" ref="H7" si="1">G7*F7</f>
        <v>1948.3679999999999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32">
        <f>T7+U7</f>
        <v>1923.7919999999999</v>
      </c>
      <c r="T7" s="32">
        <f>VLOOKUP($W7,'Hardware costs'!$B$4:$W$16,MATCH($AU$4,'Hardware costs'!$B$3:$W$3, 0),FALSE) * 12</f>
        <v>1874.6399999999999</v>
      </c>
      <c r="U7" s="32">
        <f>AA7/1000*VLOOKUP("HDD-1TB",'Hardware costs'!$B$4:$W$16,MATCH($AU$4,'Hardware costs'!$B$3:$W$3, 0),FALSE) * 12</f>
        <v>49.152000000000001</v>
      </c>
      <c r="V7" s="32"/>
      <c r="W7" s="31" t="s">
        <v>97</v>
      </c>
      <c r="X7" s="34" t="str">
        <f>VLOOKUP($W7,'Hardware costs'!$B$4:$N$16,3,FALSE)</f>
        <v>Win Server</v>
      </c>
      <c r="Y7" s="13">
        <f>VLOOKUP($W7,'Hardware costs'!$B$4:$N$16,4,FALSE)</f>
        <v>4</v>
      </c>
      <c r="Z7" s="13">
        <f>VLOOKUP($W7,'Hardware costs'!$B$4:$N$16,5,FALSE)</f>
        <v>16</v>
      </c>
      <c r="AA7" s="13">
        <v>100</v>
      </c>
      <c r="AB7" s="21"/>
      <c r="AC7" s="21"/>
      <c r="AD7" s="21"/>
      <c r="AE7" s="21"/>
      <c r="AF7" s="21"/>
      <c r="AG7" s="21"/>
      <c r="AH7" s="21"/>
      <c r="AI7" s="21"/>
      <c r="AJ7" s="131" t="s">
        <v>97</v>
      </c>
      <c r="AK7" s="13">
        <v>150</v>
      </c>
      <c r="AL7" s="21">
        <f>(INDEX('Hardware costs'!$L$4:$P$16, MATCH(Infrastructure!AJ7, 'Hardware costs'!$B$4:$B$16,0), MATCH(Infrastructure!$AU$4, 'Hardware costs'!$L$3:$P$3,0))+INDEX('Hardware costs'!$L$16:$P$16, 1, MATCH(Infrastructure!$AU$4, 'Hardware costs'!$L$3:$P$3,0))*AK7/1000)*12</f>
        <v>1948.3679999999999</v>
      </c>
      <c r="AM7" s="13">
        <f>IF($AU$5="Yes", 2, 1)</f>
        <v>1</v>
      </c>
      <c r="AN7" s="21">
        <f>AM7*AL7</f>
        <v>1948.3679999999999</v>
      </c>
      <c r="AO7" s="35"/>
      <c r="AP7" s="60">
        <f>H7+AN7</f>
        <v>3896.7359999999999</v>
      </c>
      <c r="AQ7" s="60"/>
      <c r="AR7" s="9"/>
      <c r="AS7"/>
      <c r="AT7"/>
      <c r="AU7"/>
      <c r="AV7"/>
      <c r="AW7"/>
      <c r="AX7"/>
    </row>
    <row r="8" spans="1:52" ht="24" customHeight="1">
      <c r="B8" s="16"/>
      <c r="C8" s="17" t="s">
        <v>98</v>
      </c>
      <c r="D8" s="131" t="s">
        <v>99</v>
      </c>
      <c r="E8" s="106">
        <v>500</v>
      </c>
      <c r="F8" s="21">
        <f>(INDEX('Hardware costs'!$L$4:$P$16, MATCH(Infrastructure!D8, 'Hardware costs'!$B$4:$B$16,0), MATCH(Infrastructure!$AU$4, 'Hardware costs'!$L$3:$P$3,0))+INDEX('Hardware costs'!$L$16:$P$16, 1, MATCH(Infrastructure!$AU$4, 'Hardware costs'!$L$3:$P$3,0))*E8/1000)*12</f>
        <v>5624.4000000000005</v>
      </c>
      <c r="G8" s="13">
        <v>1</v>
      </c>
      <c r="H8" s="35">
        <f t="shared" ref="H8:H9" si="2">G8*F8</f>
        <v>5624.4000000000005</v>
      </c>
      <c r="I8" s="35"/>
      <c r="J8" s="35"/>
      <c r="K8" s="35"/>
      <c r="L8" s="35"/>
      <c r="M8" s="35"/>
      <c r="N8" s="35"/>
      <c r="O8" s="35"/>
      <c r="P8" s="35"/>
      <c r="Q8" s="35"/>
      <c r="R8" s="35"/>
      <c r="S8" s="37">
        <f t="shared" ref="S8:S9" si="3">T8+U8</f>
        <v>5624.4000000000005</v>
      </c>
      <c r="T8" s="32">
        <f>VLOOKUP($W8,'Hardware costs'!$B$4:$W$16,MATCH($AU$4,'Hardware costs'!$B$3:$W$3, 0),FALSE) * 12</f>
        <v>5378.64</v>
      </c>
      <c r="U8" s="32">
        <f>AA8/1000*VLOOKUP("HDD-1TB",'Hardware costs'!$B$4:$W$16,MATCH($AU$4,'Hardware costs'!$B$3:$W$3, 0),FALSE) * 12</f>
        <v>245.76</v>
      </c>
      <c r="V8" s="37"/>
      <c r="W8" s="30" t="s">
        <v>99</v>
      </c>
      <c r="X8" s="34" t="str">
        <f>VLOOKUP($W8,'Hardware costs'!$B$4:$N$16,3,FALSE)</f>
        <v>Win SQL Server</v>
      </c>
      <c r="Y8" s="13">
        <f>VLOOKUP($W8,'Hardware costs'!$B$4:$N$16,4,FALSE)</f>
        <v>4</v>
      </c>
      <c r="Z8" s="13">
        <f>VLOOKUP($W8,'Hardware costs'!$B$4:$N$16,5,FALSE)</f>
        <v>16</v>
      </c>
      <c r="AA8" s="15">
        <v>500</v>
      </c>
      <c r="AB8" s="35"/>
      <c r="AC8" s="35"/>
      <c r="AD8" s="35"/>
      <c r="AE8" s="35"/>
      <c r="AF8" s="35"/>
      <c r="AG8" s="35"/>
      <c r="AH8" s="35"/>
      <c r="AI8" s="35"/>
      <c r="AJ8" s="131" t="s">
        <v>99</v>
      </c>
      <c r="AK8" s="15">
        <v>500</v>
      </c>
      <c r="AL8" s="21">
        <f>(INDEX('Hardware costs'!$L$4:$P$16, MATCH(Infrastructure!AJ8, 'Hardware costs'!$B$4:$B$16,0), MATCH(Infrastructure!$AU$4, 'Hardware costs'!$L$3:$P$3,0))+INDEX('Hardware costs'!$L$16:$P$16, 1, MATCH(Infrastructure!$AU$4, 'Hardware costs'!$L$3:$P$3,0))*AK8/1000)*12</f>
        <v>5624.4000000000005</v>
      </c>
      <c r="AM8" s="13">
        <f>IF($AU$5="Yes", 2, 1)</f>
        <v>1</v>
      </c>
      <c r="AN8" s="21">
        <f t="shared" ref="AN8:AN9" si="4">AM8*AL8</f>
        <v>5624.4000000000005</v>
      </c>
      <c r="AO8" s="35"/>
      <c r="AP8" s="60">
        <f t="shared" si="0"/>
        <v>11248.800000000001</v>
      </c>
      <c r="AQ8" s="60"/>
      <c r="AR8" s="9"/>
      <c r="AS8"/>
      <c r="AT8"/>
      <c r="AU8"/>
      <c r="AV8"/>
      <c r="AW8"/>
      <c r="AX8"/>
    </row>
    <row r="9" spans="1:52" ht="24" customHeight="1">
      <c r="B9" s="16"/>
      <c r="C9" s="17" t="s">
        <v>100</v>
      </c>
      <c r="D9" s="131" t="s">
        <v>101</v>
      </c>
      <c r="E9" s="29">
        <v>150</v>
      </c>
      <c r="F9" s="21">
        <f>(INDEX('Hardware costs'!$L$4:$P$16, MATCH(Infrastructure!D9, 'Hardware costs'!$B$4:$B$16,0), MATCH(Infrastructure!$AU$4, 'Hardware costs'!$L$3:$P$3,0))+INDEX('Hardware costs'!$L$16:$P$16, 1, MATCH(Infrastructure!$AU$4, 'Hardware costs'!$L$3:$P$3,0))*E9/1000)*12</f>
        <v>3831.768</v>
      </c>
      <c r="G9" s="13">
        <v>1</v>
      </c>
      <c r="H9" s="35">
        <f t="shared" si="2"/>
        <v>3831.768</v>
      </c>
      <c r="I9" s="35"/>
      <c r="J9" s="35"/>
      <c r="K9" s="35"/>
      <c r="L9" s="35"/>
      <c r="M9" s="35"/>
      <c r="N9" s="35"/>
      <c r="O9" s="35"/>
      <c r="P9" s="35"/>
      <c r="Q9" s="35"/>
      <c r="R9" s="35"/>
      <c r="S9" s="37">
        <f t="shared" si="3"/>
        <v>3880.92</v>
      </c>
      <c r="T9" s="32">
        <f>VLOOKUP($W9,'Hardware costs'!$B$4:$W$16,MATCH($AU$4,'Hardware costs'!$B$3:$W$3, 0),FALSE) * 12</f>
        <v>3758.04</v>
      </c>
      <c r="U9" s="32">
        <f>AA9/1000*VLOOKUP("HDD-1TB",'Hardware costs'!$B$4:$W$16,MATCH($AU$4,'Hardware costs'!$B$3:$W$3, 0),FALSE) * 12</f>
        <v>122.88</v>
      </c>
      <c r="V9" s="37"/>
      <c r="W9" s="30" t="s">
        <v>101</v>
      </c>
      <c r="X9" s="34" t="str">
        <f>VLOOKUP($W9,'Hardware costs'!$B$4:$N$16,3,FALSE)</f>
        <v>Win Server</v>
      </c>
      <c r="Y9" s="13">
        <f>VLOOKUP($W9,'Hardware costs'!$B$4:$N$16,4,FALSE)</f>
        <v>8</v>
      </c>
      <c r="Z9" s="13">
        <f>VLOOKUP($W9,'Hardware costs'!$B$4:$N$16,5,FALSE)</f>
        <v>16</v>
      </c>
      <c r="AA9" s="13">
        <v>250</v>
      </c>
      <c r="AB9" s="35"/>
      <c r="AC9" s="35"/>
      <c r="AD9" s="35"/>
      <c r="AE9" s="35"/>
      <c r="AF9" s="35"/>
      <c r="AG9" s="35"/>
      <c r="AH9" s="35"/>
      <c r="AI9" s="35"/>
      <c r="AJ9" s="131" t="s">
        <v>101</v>
      </c>
      <c r="AK9" s="13">
        <v>150</v>
      </c>
      <c r="AL9" s="21">
        <f>(INDEX('Hardware costs'!$L$4:$P$16, MATCH(Infrastructure!AJ9, 'Hardware costs'!$B$4:$B$16,0), MATCH(Infrastructure!$AU$4, 'Hardware costs'!$L$3:$P$3,0))+INDEX('Hardware costs'!$L$16:$P$16, 1, MATCH(Infrastructure!$AU$4, 'Hardware costs'!$L$3:$P$3,0))*AK9/1000)*12</f>
        <v>3831.768</v>
      </c>
      <c r="AM9" s="14">
        <f>MAX(ROUNDUP(Volume!$F$37,0), IF($AU$5="Yes", 2, 1))</f>
        <v>1</v>
      </c>
      <c r="AN9" s="21">
        <f t="shared" si="4"/>
        <v>3831.768</v>
      </c>
      <c r="AO9" s="35"/>
      <c r="AP9" s="60">
        <f t="shared" si="0"/>
        <v>7663.5360000000001</v>
      </c>
      <c r="AQ9" s="60"/>
      <c r="AR9" s="9"/>
      <c r="AS9"/>
      <c r="AT9"/>
      <c r="AU9"/>
      <c r="AV9"/>
      <c r="AW9"/>
      <c r="AX9"/>
    </row>
    <row r="10" spans="1:52" ht="24" hidden="1" customHeight="1">
      <c r="B10" s="16"/>
      <c r="C10" s="12" t="s">
        <v>102</v>
      </c>
      <c r="D10" s="131"/>
      <c r="E10" s="29">
        <v>250</v>
      </c>
      <c r="F10" s="21">
        <f>(INDEX('Hardware costs'!$L$16:$P$16, 1, MATCH(Infrastructure!$AU$4, 'Hardware costs'!$L$3:$P$3,0))*E10/1000)*12</f>
        <v>122.88</v>
      </c>
      <c r="G10" s="13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7" t="e">
        <f>T10+U10</f>
        <v>#N/A</v>
      </c>
      <c r="T10" s="32" t="e">
        <f>VLOOKUP($W10,'Hardware costs'!$B$4:$W$16,MATCH($AU$4,'Hardware costs'!$B$3:$W$3, 0),FALSE) * 12</f>
        <v>#N/A</v>
      </c>
      <c r="U10" s="32">
        <f>AA10/1000*VLOOKUP("HDD-1TB",'Hardware costs'!$B$4:$W$16,MATCH($AU$4,'Hardware costs'!$B$3:$W$3, 0),FALSE) * 12</f>
        <v>25.067519999999995</v>
      </c>
      <c r="V10" s="37"/>
      <c r="W10" s="30" t="s">
        <v>103</v>
      </c>
      <c r="X10" s="34" t="e">
        <f>VLOOKUP($W10,'Hardware costs'!$B$4:$N$16,3,FALSE)</f>
        <v>#N/A</v>
      </c>
      <c r="Y10" s="13" t="e">
        <f>VLOOKUP($W10,'Hardware costs'!$B$4:$N$16,4,FALSE)</f>
        <v>#N/A</v>
      </c>
      <c r="Z10" s="13" t="e">
        <f>VLOOKUP($W10,'Hardware costs'!$B$4:$N$16,5,FALSE)</f>
        <v>#N/A</v>
      </c>
      <c r="AA10" s="13">
        <v>51</v>
      </c>
      <c r="AB10" s="35"/>
      <c r="AC10" s="35"/>
      <c r="AD10" s="35"/>
      <c r="AE10" s="35"/>
      <c r="AF10" s="35"/>
      <c r="AG10" s="35"/>
      <c r="AH10" s="35"/>
      <c r="AI10" s="35"/>
      <c r="AJ10" s="30"/>
      <c r="AK10" s="13">
        <v>250</v>
      </c>
      <c r="AL10" s="21">
        <f>(INDEX('Hardware costs'!$L$16:$P$16, 1, MATCH(Infrastructure!$AU$4, 'Hardware costs'!$L$3:$P$3,0))*AK10/1000)*12</f>
        <v>122.88</v>
      </c>
      <c r="AM10" s="14"/>
      <c r="AN10" s="21"/>
      <c r="AO10" s="35"/>
      <c r="AP10" s="60">
        <f t="shared" ref="AP10" si="5">H10+AN10</f>
        <v>0</v>
      </c>
      <c r="AQ10" s="60"/>
      <c r="AR10" s="9"/>
      <c r="AS10"/>
      <c r="AT10"/>
      <c r="AU10"/>
      <c r="AV10"/>
      <c r="AW10"/>
      <c r="AX10"/>
    </row>
    <row r="11" spans="1:52" ht="24.95" customHeight="1">
      <c r="B11" s="65"/>
      <c r="C11" s="23" t="s">
        <v>32</v>
      </c>
      <c r="D11" s="132"/>
      <c r="E11" s="24"/>
      <c r="F11" s="24"/>
      <c r="G11" s="24"/>
      <c r="H11" s="25">
        <f>SUM(H5:H9)</f>
        <v>21202.824000000001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33">
        <f>SUM(S5:S9)</f>
        <v>18453.167999999998</v>
      </c>
      <c r="T11" s="33">
        <f>SUM(T5:T9)</f>
        <v>17887.920000000002</v>
      </c>
      <c r="U11" s="33">
        <f>SUM(U5:U9)</f>
        <v>565.24800000000005</v>
      </c>
      <c r="V11" s="33"/>
      <c r="W11" s="24"/>
      <c r="X11" s="24"/>
      <c r="Y11" s="24"/>
      <c r="Z11" s="24"/>
      <c r="AA11" s="24"/>
      <c r="AB11" s="25"/>
      <c r="AC11" s="25"/>
      <c r="AD11" s="25"/>
      <c r="AE11" s="25"/>
      <c r="AF11" s="25"/>
      <c r="AG11" s="25"/>
      <c r="AH11" s="25"/>
      <c r="AI11" s="25"/>
      <c r="AJ11" s="24"/>
      <c r="AK11" s="24"/>
      <c r="AL11" s="24"/>
      <c r="AM11" s="24"/>
      <c r="AN11" s="25">
        <f>SUM(AN5:AN9)</f>
        <v>21202.824000000001</v>
      </c>
      <c r="AO11" s="58"/>
      <c r="AP11" s="125">
        <f>SUM(AP5:AP9)</f>
        <v>42405.648000000001</v>
      </c>
      <c r="AQ11" s="61"/>
      <c r="AR11" s="9"/>
      <c r="AS11"/>
      <c r="AT11"/>
      <c r="AU11"/>
      <c r="AV11"/>
      <c r="AW11"/>
      <c r="AX11"/>
    </row>
    <row r="12" spans="1:52" ht="54.95" customHeight="1">
      <c r="B12" s="9"/>
      <c r="C12" s="150"/>
      <c r="D12" s="150"/>
      <c r="E12" s="150"/>
      <c r="F12" s="150"/>
      <c r="G12" s="150"/>
      <c r="H12" s="150"/>
      <c r="I12" s="150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51"/>
      <c r="AQ12" s="51"/>
      <c r="AR12" s="9"/>
      <c r="AS12"/>
      <c r="AT12"/>
      <c r="AU12"/>
      <c r="AV12"/>
      <c r="AW12"/>
      <c r="AX12"/>
    </row>
    <row r="13" spans="1:52" ht="32.1" customHeight="1">
      <c r="A13"/>
      <c r="B13"/>
      <c r="C13"/>
      <c r="D13" s="13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</row>
    <row r="14" spans="1:52" ht="32.1" customHeight="1">
      <c r="A14"/>
      <c r="B14"/>
      <c r="C14"/>
      <c r="D14" s="133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</row>
    <row r="15" spans="1:52" ht="24" customHeight="1">
      <c r="A15"/>
      <c r="B15"/>
      <c r="C15"/>
      <c r="D15" s="133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</row>
    <row r="16" spans="1:52" ht="24" customHeight="1">
      <c r="A16"/>
      <c r="B16"/>
      <c r="C16"/>
      <c r="D16" s="133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 s="9"/>
    </row>
    <row r="17" spans="1:48" ht="24" customHeight="1">
      <c r="A17"/>
      <c r="B17"/>
      <c r="C17"/>
      <c r="D17" s="133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 s="9"/>
    </row>
    <row r="18" spans="1:48" ht="24" customHeight="1">
      <c r="A18"/>
      <c r="B18"/>
      <c r="C18"/>
      <c r="D18" s="133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 s="9"/>
    </row>
    <row r="19" spans="1:48" ht="24.95" customHeight="1">
      <c r="A19"/>
      <c r="B19"/>
      <c r="C19"/>
      <c r="D19" s="133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 s="9"/>
    </row>
    <row r="20" spans="1:48" ht="39" customHeight="1">
      <c r="A20"/>
      <c r="B20"/>
      <c r="C20"/>
      <c r="D20" s="133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 s="19"/>
    </row>
    <row r="21" spans="1:48" ht="32.1" customHeight="1">
      <c r="A21"/>
      <c r="B21"/>
      <c r="C21"/>
      <c r="D21" s="133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 s="19"/>
    </row>
    <row r="22" spans="1:48" ht="33" customHeight="1">
      <c r="A22"/>
      <c r="B22"/>
      <c r="C22"/>
      <c r="D22" s="133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 s="19"/>
    </row>
    <row r="23" spans="1:48" ht="24.95" customHeight="1">
      <c r="A23"/>
      <c r="B23"/>
      <c r="C23"/>
      <c r="D23" s="13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 s="9"/>
    </row>
    <row r="24" spans="1:48" ht="24.95" customHeight="1">
      <c r="A24"/>
      <c r="B24"/>
      <c r="C24"/>
      <c r="D24" s="133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 s="9"/>
    </row>
    <row r="25" spans="1:48" ht="24.95" customHeight="1">
      <c r="A25"/>
      <c r="B25"/>
      <c r="C25"/>
      <c r="D25" s="133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 s="9"/>
    </row>
    <row r="26" spans="1:48" ht="24.95" customHeight="1">
      <c r="A26"/>
      <c r="B26"/>
      <c r="C26"/>
      <c r="D26" s="133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 s="9"/>
      <c r="AV26" s="1" t="s">
        <v>104</v>
      </c>
    </row>
    <row r="27" spans="1:48" ht="15" customHeight="1">
      <c r="B27" s="9"/>
      <c r="C27" s="9"/>
      <c r="D27" s="51"/>
      <c r="E27" s="9"/>
      <c r="F27" s="9"/>
      <c r="G27" s="10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62"/>
      <c r="AO27" s="62"/>
      <c r="AP27" s="62"/>
      <c r="AQ27" s="62"/>
      <c r="AR27" s="9"/>
      <c r="AS27" s="9"/>
    </row>
    <row r="28" spans="1:48" ht="15" customHeight="1">
      <c r="B28" s="9"/>
      <c r="C28" s="9"/>
      <c r="D28" s="51"/>
      <c r="E28" s="9"/>
      <c r="F28" s="9"/>
      <c r="G28" s="10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</row>
    <row r="29" spans="1:48" ht="15" customHeight="1">
      <c r="B29" s="9"/>
      <c r="C29" s="9"/>
      <c r="D29" s="51"/>
      <c r="E29" s="9"/>
      <c r="F29" s="9"/>
      <c r="G29" s="10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</row>
    <row r="30" spans="1:48" ht="15" customHeight="1">
      <c r="B30" s="9"/>
      <c r="C30" s="9"/>
      <c r="D30" s="51"/>
      <c r="E30" s="9"/>
      <c r="F30" s="9"/>
      <c r="G30" s="10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 t="s">
        <v>104</v>
      </c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</row>
    <row r="31" spans="1:48">
      <c r="B31" s="9"/>
      <c r="C31" s="9"/>
      <c r="D31" s="51"/>
      <c r="E31" s="9"/>
      <c r="F31" s="9"/>
      <c r="G31" s="10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 t="s">
        <v>104</v>
      </c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</row>
    <row r="32" spans="1:48">
      <c r="B32" s="9"/>
      <c r="C32" s="9"/>
      <c r="D32" s="51"/>
      <c r="E32" s="9"/>
      <c r="F32" s="9"/>
      <c r="G32" s="10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</row>
    <row r="33" spans="2:45">
      <c r="B33" s="9"/>
      <c r="C33" s="9"/>
      <c r="D33" s="51"/>
      <c r="E33" s="9"/>
      <c r="F33" s="9"/>
      <c r="G33" s="10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</row>
    <row r="34" spans="2:45">
      <c r="B34" s="9"/>
      <c r="C34" s="9"/>
      <c r="D34" s="51"/>
      <c r="E34" s="9"/>
      <c r="F34" s="9"/>
      <c r="G34" s="10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</row>
    <row r="35" spans="2:45">
      <c r="B35" s="9"/>
      <c r="C35" s="9"/>
      <c r="D35" s="51"/>
      <c r="E35" s="9"/>
      <c r="F35" s="9"/>
      <c r="G35" s="10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</row>
    <row r="36" spans="2:45">
      <c r="B36" s="9"/>
      <c r="C36" s="9"/>
      <c r="D36" s="51"/>
      <c r="E36" s="9"/>
      <c r="F36" s="9"/>
      <c r="G36" s="10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</row>
    <row r="37" spans="2:45">
      <c r="B37" s="9"/>
      <c r="C37" s="9"/>
      <c r="D37" s="51"/>
      <c r="E37" s="9"/>
      <c r="F37" s="9"/>
      <c r="G37" s="10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</row>
    <row r="38" spans="2:45">
      <c r="B38" s="9"/>
      <c r="C38" s="9"/>
      <c r="D38" s="51"/>
      <c r="E38" s="9"/>
      <c r="F38" s="9"/>
      <c r="G38" s="10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</row>
    <row r="39" spans="2:45">
      <c r="B39" s="9"/>
      <c r="C39" s="9"/>
      <c r="D39" s="51"/>
      <c r="E39" s="9"/>
      <c r="F39" s="9"/>
      <c r="G39" s="10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</row>
    <row r="40" spans="2:45">
      <c r="B40" s="9"/>
      <c r="C40" s="9"/>
      <c r="D40" s="51"/>
      <c r="E40" s="9"/>
      <c r="F40" s="9"/>
      <c r="G40" s="10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</row>
    <row r="41" spans="2:45">
      <c r="B41" s="9"/>
      <c r="C41" s="9"/>
      <c r="D41" s="51"/>
      <c r="E41" s="9"/>
      <c r="F41" s="9"/>
      <c r="G41" s="10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</row>
    <row r="42" spans="2:45">
      <c r="B42" s="9"/>
      <c r="C42" s="9"/>
      <c r="D42" s="51"/>
      <c r="E42" s="9"/>
      <c r="F42" s="9"/>
      <c r="G42" s="10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</row>
    <row r="43" spans="2:45">
      <c r="B43" s="9"/>
      <c r="C43" s="9"/>
      <c r="D43" s="51"/>
      <c r="E43" s="9"/>
      <c r="F43" s="9"/>
      <c r="G43" s="10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</row>
    <row r="44" spans="2:45">
      <c r="B44" s="9"/>
      <c r="C44" s="9"/>
      <c r="D44" s="51"/>
      <c r="E44" s="9"/>
      <c r="F44" s="9"/>
      <c r="G44" s="10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</row>
    <row r="45" spans="2:45">
      <c r="B45" s="9"/>
      <c r="C45" s="9"/>
      <c r="D45" s="51"/>
      <c r="E45" s="9"/>
      <c r="F45" s="9"/>
      <c r="G45" s="10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</row>
    <row r="46" spans="2:45">
      <c r="B46" s="9"/>
      <c r="C46" s="9"/>
      <c r="D46" s="51"/>
      <c r="E46" s="9"/>
      <c r="F46" s="9"/>
      <c r="G46" s="10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</row>
    <row r="47" spans="2:45">
      <c r="B47" s="9"/>
      <c r="C47" s="9"/>
      <c r="D47" s="51"/>
      <c r="E47" s="9"/>
      <c r="F47" s="9"/>
      <c r="G47" s="10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</row>
    <row r="48" spans="2:45">
      <c r="B48" s="9"/>
      <c r="C48" s="9"/>
      <c r="D48" s="51"/>
      <c r="E48" s="9"/>
      <c r="F48" s="9"/>
      <c r="G48" s="10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</row>
    <row r="49" spans="2:45">
      <c r="B49" s="9"/>
      <c r="C49" s="9"/>
      <c r="D49" s="51"/>
      <c r="E49" s="9"/>
      <c r="F49" s="9"/>
      <c r="G49" s="10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</row>
    <row r="50" spans="2:45">
      <c r="B50" s="9"/>
      <c r="C50" s="9"/>
      <c r="D50" s="51"/>
      <c r="E50" s="9"/>
      <c r="F50" s="9"/>
      <c r="G50" s="10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</row>
    <row r="51" spans="2:45">
      <c r="B51" s="9"/>
      <c r="C51" s="9"/>
      <c r="D51" s="51"/>
      <c r="E51" s="9"/>
      <c r="F51" s="9"/>
      <c r="G51" s="10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</row>
    <row r="52" spans="2:45">
      <c r="B52" s="9"/>
      <c r="C52" s="9"/>
      <c r="D52" s="51"/>
      <c r="E52" s="9"/>
      <c r="F52" s="9"/>
      <c r="G52" s="10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</row>
    <row r="53" spans="2:45">
      <c r="B53" s="9"/>
      <c r="C53" s="9"/>
      <c r="D53" s="51"/>
      <c r="E53" s="9"/>
      <c r="F53" s="9"/>
      <c r="G53" s="10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</row>
    <row r="54" spans="2:45">
      <c r="B54" s="9"/>
      <c r="C54" s="9"/>
      <c r="D54" s="51"/>
      <c r="E54" s="9"/>
      <c r="F54" s="9"/>
      <c r="G54" s="10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</row>
    <row r="55" spans="2:45">
      <c r="B55" s="9"/>
      <c r="C55" s="9"/>
      <c r="D55" s="51"/>
      <c r="E55" s="9"/>
      <c r="F55" s="9"/>
      <c r="G55" s="10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</row>
    <row r="56" spans="2:45">
      <c r="B56" s="9"/>
      <c r="C56" s="9"/>
      <c r="D56" s="51"/>
      <c r="E56" s="9"/>
      <c r="F56" s="9"/>
      <c r="G56" s="10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</row>
    <row r="57" spans="2:45">
      <c r="B57" s="9"/>
      <c r="C57" s="9"/>
      <c r="D57" s="51"/>
      <c r="E57" s="9"/>
      <c r="F57" s="9"/>
      <c r="G57" s="10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</row>
    <row r="58" spans="2:45">
      <c r="B58" s="9"/>
      <c r="C58" s="9"/>
      <c r="D58" s="51"/>
      <c r="E58" s="9"/>
      <c r="F58" s="9"/>
      <c r="G58" s="10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</row>
    <row r="59" spans="2:45">
      <c r="B59" s="9"/>
      <c r="C59" s="9"/>
      <c r="D59" s="51"/>
      <c r="E59" s="9"/>
      <c r="F59" s="9"/>
      <c r="G59" s="10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</row>
    <row r="60" spans="2:45">
      <c r="B60" s="9"/>
      <c r="C60" s="9"/>
      <c r="D60" s="51"/>
      <c r="E60" s="9"/>
      <c r="F60" s="9"/>
      <c r="G60" s="10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</row>
    <row r="61" spans="2:45">
      <c r="B61" s="9"/>
      <c r="C61" s="9"/>
      <c r="D61" s="51"/>
      <c r="E61" s="9"/>
      <c r="F61" s="9"/>
      <c r="G61" s="10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</row>
    <row r="62" spans="2:45">
      <c r="B62" s="9"/>
      <c r="C62" s="9"/>
      <c r="D62" s="51"/>
      <c r="E62" s="9"/>
      <c r="F62" s="9"/>
      <c r="G62" s="10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</row>
    <row r="63" spans="2:45">
      <c r="B63" s="9"/>
      <c r="C63" s="9"/>
      <c r="D63" s="51"/>
      <c r="E63" s="9"/>
      <c r="F63" s="9"/>
      <c r="G63" s="10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</row>
    <row r="64" spans="2:45">
      <c r="B64" s="9"/>
      <c r="C64" s="9"/>
      <c r="D64" s="51"/>
      <c r="E64" s="9"/>
      <c r="F64" s="9"/>
      <c r="G64" s="10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</row>
    <row r="65" spans="2:45">
      <c r="B65" s="9"/>
      <c r="C65" s="9"/>
      <c r="D65" s="51"/>
      <c r="E65" s="9"/>
      <c r="F65" s="9"/>
      <c r="G65" s="10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</row>
    <row r="66" spans="2:45">
      <c r="B66" s="9"/>
      <c r="C66" s="9"/>
      <c r="D66" s="51"/>
      <c r="E66" s="9"/>
      <c r="F66" s="9"/>
      <c r="G66" s="10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</row>
    <row r="67" spans="2:45">
      <c r="B67" s="9"/>
      <c r="C67" s="9"/>
      <c r="D67" s="51"/>
      <c r="E67" s="9"/>
      <c r="F67" s="9"/>
      <c r="G67" s="10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</row>
    <row r="68" spans="2:45">
      <c r="B68" s="9"/>
      <c r="C68" s="9"/>
      <c r="D68" s="51"/>
      <c r="E68" s="9"/>
      <c r="F68" s="9"/>
      <c r="G68" s="10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</row>
    <row r="69" spans="2:45">
      <c r="B69" s="9"/>
      <c r="C69" s="9"/>
      <c r="D69" s="51"/>
      <c r="E69" s="9"/>
      <c r="F69" s="9"/>
      <c r="G69" s="10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</row>
    <row r="70" spans="2:45">
      <c r="B70" s="9"/>
      <c r="C70" s="9"/>
      <c r="D70" s="51"/>
      <c r="E70" s="9"/>
      <c r="F70" s="9"/>
      <c r="G70" s="10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</row>
    <row r="71" spans="2:45">
      <c r="B71" s="9"/>
      <c r="C71" s="9"/>
      <c r="D71" s="51"/>
      <c r="E71" s="9"/>
      <c r="F71" s="9"/>
      <c r="G71" s="10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</row>
    <row r="72" spans="2:45">
      <c r="B72" s="9"/>
      <c r="C72" s="9"/>
      <c r="D72" s="51"/>
      <c r="E72" s="9"/>
      <c r="F72" s="9"/>
      <c r="G72" s="10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</row>
    <row r="73" spans="2:45">
      <c r="B73" s="9"/>
      <c r="C73" s="9"/>
      <c r="D73" s="51"/>
      <c r="E73" s="9"/>
      <c r="F73" s="9"/>
      <c r="G73" s="10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</row>
    <row r="74" spans="2:45">
      <c r="B74" s="9"/>
      <c r="C74" s="9"/>
      <c r="D74" s="51"/>
      <c r="E74" s="9"/>
      <c r="F74" s="9"/>
      <c r="G74" s="10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</row>
    <row r="75" spans="2:45">
      <c r="B75" s="9"/>
      <c r="C75" s="9"/>
      <c r="D75" s="51"/>
      <c r="E75" s="9"/>
      <c r="F75" s="9"/>
      <c r="G75" s="10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</row>
    <row r="76" spans="2:45">
      <c r="B76" s="9"/>
      <c r="C76" s="9"/>
      <c r="D76" s="51"/>
      <c r="E76" s="9"/>
      <c r="F76" s="9"/>
      <c r="G76" s="10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</row>
    <row r="77" spans="2:45">
      <c r="B77" s="9"/>
      <c r="C77" s="9"/>
      <c r="D77" s="51"/>
      <c r="E77" s="9"/>
      <c r="F77" s="9"/>
      <c r="G77" s="10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</row>
    <row r="78" spans="2:45">
      <c r="B78" s="9"/>
      <c r="C78" s="9"/>
      <c r="D78" s="51"/>
      <c r="E78" s="9"/>
      <c r="F78" s="9"/>
      <c r="G78" s="10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</row>
    <row r="79" spans="2:45">
      <c r="B79" s="9"/>
      <c r="C79" s="9"/>
      <c r="D79" s="51"/>
      <c r="E79" s="9"/>
      <c r="F79" s="9"/>
      <c r="G79" s="10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</row>
    <row r="80" spans="2:45">
      <c r="B80" s="9"/>
      <c r="C80" s="9"/>
      <c r="D80" s="51"/>
      <c r="E80" s="9"/>
      <c r="F80" s="9"/>
      <c r="G80" s="10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</row>
    <row r="81" spans="2:45">
      <c r="B81" s="9"/>
      <c r="C81" s="9"/>
      <c r="D81" s="51"/>
      <c r="E81" s="9"/>
      <c r="F81" s="9"/>
      <c r="G81" s="10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</row>
    <row r="82" spans="2:45">
      <c r="B82" s="9"/>
      <c r="C82" s="9"/>
      <c r="D82" s="51"/>
      <c r="E82" s="9"/>
      <c r="F82" s="9"/>
      <c r="G82" s="10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</row>
    <row r="83" spans="2:45">
      <c r="B83" s="9"/>
      <c r="C83" s="9"/>
      <c r="D83" s="51"/>
      <c r="E83" s="9"/>
      <c r="F83" s="9"/>
      <c r="G83" s="10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</row>
    <row r="84" spans="2:45">
      <c r="B84" s="9"/>
      <c r="C84" s="9"/>
      <c r="D84" s="51"/>
      <c r="E84" s="9"/>
      <c r="F84" s="9"/>
      <c r="G84" s="10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</row>
    <row r="85" spans="2:45">
      <c r="B85" s="9"/>
      <c r="C85" s="9"/>
      <c r="D85" s="51"/>
      <c r="E85" s="9"/>
      <c r="F85" s="9"/>
      <c r="G85" s="10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</row>
    <row r="86" spans="2:45">
      <c r="B86" s="9"/>
      <c r="C86" s="9"/>
      <c r="D86" s="51"/>
      <c r="E86" s="9"/>
      <c r="F86" s="9"/>
      <c r="G86" s="10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</row>
    <row r="87" spans="2:45">
      <c r="B87" s="9"/>
      <c r="C87" s="9"/>
      <c r="D87" s="51"/>
      <c r="E87" s="9"/>
      <c r="F87" s="9"/>
      <c r="G87" s="10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</row>
    <row r="88" spans="2:45">
      <c r="B88" s="9"/>
      <c r="C88" s="9"/>
      <c r="D88" s="51"/>
      <c r="E88" s="9"/>
      <c r="F88" s="9"/>
      <c r="G88" s="10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</row>
    <row r="89" spans="2:45">
      <c r="B89" s="9"/>
      <c r="C89" s="9"/>
      <c r="D89" s="51"/>
      <c r="E89" s="9"/>
      <c r="F89" s="9"/>
      <c r="G89" s="10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</row>
    <row r="90" spans="2:45">
      <c r="B90" s="9"/>
      <c r="C90" s="9"/>
      <c r="D90" s="51"/>
      <c r="E90" s="9"/>
      <c r="F90" s="9"/>
      <c r="G90" s="10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</row>
    <row r="91" spans="2:45">
      <c r="B91" s="9"/>
      <c r="C91" s="9"/>
      <c r="D91" s="51"/>
      <c r="E91" s="9"/>
      <c r="F91" s="9"/>
      <c r="G91" s="10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</row>
    <row r="92" spans="2:45">
      <c r="B92" s="9"/>
      <c r="C92" s="9"/>
      <c r="D92" s="51"/>
      <c r="E92" s="9"/>
      <c r="F92" s="9"/>
      <c r="G92" s="10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</row>
    <row r="93" spans="2:45">
      <c r="B93" s="9"/>
      <c r="C93" s="9"/>
      <c r="D93" s="51"/>
      <c r="E93" s="9"/>
      <c r="F93" s="9"/>
      <c r="G93" s="10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</row>
    <row r="94" spans="2:45">
      <c r="B94" s="9"/>
      <c r="C94" s="9"/>
      <c r="D94" s="51"/>
      <c r="E94" s="9"/>
      <c r="F94" s="9"/>
      <c r="G94" s="10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</row>
  </sheetData>
  <mergeCells count="8">
    <mergeCell ref="C12:I12"/>
    <mergeCell ref="D1:AV1"/>
    <mergeCell ref="AU4:AV4"/>
    <mergeCell ref="AP3:AP4"/>
    <mergeCell ref="S3:AA3"/>
    <mergeCell ref="AJ3:AN3"/>
    <mergeCell ref="D3:I3"/>
    <mergeCell ref="AU5:AV5"/>
  </mergeCells>
  <phoneticPr fontId="18" type="noConversion"/>
  <dataValidations count="1">
    <dataValidation type="list" allowBlank="1" showInputMessage="1" showErrorMessage="1" sqref="AU5" xr:uid="{D88489E9-A9D6-1F4C-BAB9-1968D1A65BF4}">
      <formula1>"Yes,No"</formula1>
    </dataValidation>
  </dataValidations>
  <pageMargins left="0.7" right="0.7" top="0.75" bottom="0.75" header="0.3" footer="0.3"/>
  <pageSetup paperSize="10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CC8249A-BA1D-774C-9077-D98D1DC592BC}">
          <x14:formula1>
            <xm:f>'Hardware costs'!$L$3:$P$3</xm:f>
          </x14:formula1>
          <xm:sqref>AU4:AV4</xm:sqref>
        </x14:dataValidation>
        <x14:dataValidation type="list" allowBlank="1" showInputMessage="1" showErrorMessage="1" xr:uid="{00000000-0002-0000-0100-000001000000}">
          <x14:formula1>
            <xm:f>'Hardware costs'!$B$4:$B$16</xm:f>
          </x14:formula1>
          <xm:sqref>W5:W10 D5:D10 AJ5:AJ10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-0.499984740745262"/>
  </sheetPr>
  <dimension ref="A1:P29"/>
  <sheetViews>
    <sheetView showGridLines="0" zoomScaleNormal="100" workbookViewId="0">
      <pane ySplit="1" topLeftCell="A2" activePane="bottomLeft" state="frozen"/>
      <selection pane="bottomLeft" activeCell="O4" sqref="O4"/>
    </sheetView>
  </sheetViews>
  <sheetFormatPr defaultColWidth="10.85546875" defaultRowHeight="15"/>
  <cols>
    <col min="1" max="1" width="3.140625" customWidth="1"/>
    <col min="2" max="2" width="17.7109375" customWidth="1"/>
    <col min="3" max="3" width="25.85546875" customWidth="1"/>
    <col min="4" max="4" width="7.42578125" customWidth="1"/>
    <col min="5" max="5" width="8.42578125" customWidth="1"/>
    <col min="6" max="6" width="8.85546875" customWidth="1"/>
    <col min="7" max="7" width="5.85546875" customWidth="1"/>
    <col min="8" max="8" width="15.7109375" customWidth="1"/>
    <col min="9" max="11" width="18.140625" style="2" customWidth="1"/>
    <col min="12" max="12" width="9.140625" style="3" bestFit="1" customWidth="1"/>
    <col min="13" max="13" width="16" style="3" customWidth="1"/>
    <col min="14" max="14" width="13" style="3" bestFit="1" customWidth="1"/>
    <col min="15" max="15" width="15.28515625" style="3" customWidth="1"/>
    <col min="16" max="16" width="9.28515625" customWidth="1"/>
  </cols>
  <sheetData>
    <row r="1" spans="1:16" ht="60" customHeight="1">
      <c r="B1" s="95" t="s">
        <v>105</v>
      </c>
      <c r="C1" s="96"/>
      <c r="D1" s="95"/>
    </row>
    <row r="2" spans="1:16" ht="21" customHeight="1">
      <c r="B2" s="73"/>
      <c r="C2" s="73"/>
      <c r="D2" s="95"/>
    </row>
    <row r="3" spans="1:16" ht="39" customHeight="1">
      <c r="A3" s="76"/>
      <c r="B3" s="85" t="s">
        <v>106</v>
      </c>
      <c r="C3" s="79" t="s">
        <v>107</v>
      </c>
      <c r="D3" s="79" t="s">
        <v>84</v>
      </c>
      <c r="E3" s="84" t="s">
        <v>85</v>
      </c>
      <c r="F3" s="84" t="s">
        <v>86</v>
      </c>
      <c r="G3" s="84"/>
      <c r="H3" s="79" t="s">
        <v>108</v>
      </c>
      <c r="I3" s="80" t="s">
        <v>109</v>
      </c>
      <c r="J3" s="80" t="s">
        <v>110</v>
      </c>
      <c r="K3" s="80" t="s">
        <v>111</v>
      </c>
      <c r="L3" s="83" t="s">
        <v>112</v>
      </c>
      <c r="M3" s="83" t="s">
        <v>113</v>
      </c>
      <c r="N3" s="83" t="s">
        <v>89</v>
      </c>
      <c r="O3" s="83" t="s">
        <v>114</v>
      </c>
      <c r="P3" s="84" t="s">
        <v>115</v>
      </c>
    </row>
    <row r="4" spans="1:16" s="12" customFormat="1" ht="32.1" customHeight="1">
      <c r="B4" s="86" t="s">
        <v>116</v>
      </c>
      <c r="D4" s="12" t="s">
        <v>117</v>
      </c>
      <c r="E4" s="13">
        <v>2</v>
      </c>
      <c r="F4" s="13">
        <v>8</v>
      </c>
      <c r="G4" s="13"/>
      <c r="H4" s="12" t="s">
        <v>118</v>
      </c>
      <c r="I4" s="77" t="s">
        <v>119</v>
      </c>
      <c r="J4" s="77" t="s">
        <v>120</v>
      </c>
      <c r="K4" s="77" t="s">
        <v>121</v>
      </c>
      <c r="L4" s="81">
        <v>63.25</v>
      </c>
      <c r="M4" s="81">
        <v>56.73</v>
      </c>
      <c r="N4" s="81">
        <v>116.22</v>
      </c>
      <c r="O4" s="81">
        <v>109</v>
      </c>
      <c r="P4" s="82">
        <f t="shared" ref="P4:P15" si="0">IF($D4="RHEL", 210, IF(OR($D4="Win VDI", $D4="Win Server", $D4="Win SQL Server"), 240, 10000000)) + IF($D4="Win SQL Server", 200, 30)*$E4 + F4/32*20</f>
        <v>275</v>
      </c>
    </row>
    <row r="5" spans="1:16" s="12" customFormat="1" ht="32.1" customHeight="1">
      <c r="B5" s="86" t="str">
        <f>CONCATENATE("L-",E5,"-",F5)</f>
        <v>L-4-16</v>
      </c>
      <c r="D5" s="12" t="s">
        <v>117</v>
      </c>
      <c r="E5" s="13">
        <v>4</v>
      </c>
      <c r="F5" s="13">
        <v>16</v>
      </c>
      <c r="G5" s="13"/>
      <c r="H5" s="12" t="s">
        <v>122</v>
      </c>
      <c r="I5" s="77" t="s">
        <v>123</v>
      </c>
      <c r="J5" s="77" t="s">
        <v>124</v>
      </c>
      <c r="K5" s="77" t="s">
        <v>125</v>
      </c>
      <c r="L5" s="81">
        <v>126.49</v>
      </c>
      <c r="M5" s="81">
        <v>113.46</v>
      </c>
      <c r="N5" s="81">
        <v>188.34</v>
      </c>
      <c r="O5" s="81">
        <v>172</v>
      </c>
      <c r="P5" s="82">
        <f t="shared" si="0"/>
        <v>340</v>
      </c>
    </row>
    <row r="6" spans="1:16" s="12" customFormat="1" ht="32.1" customHeight="1">
      <c r="B6" s="89" t="str">
        <f>CONCATENATE("L-",E6,"-",F6)</f>
        <v>L-8-32</v>
      </c>
      <c r="C6" s="90" t="s">
        <v>126</v>
      </c>
      <c r="D6" s="90" t="s">
        <v>117</v>
      </c>
      <c r="E6" s="91">
        <v>8</v>
      </c>
      <c r="F6" s="91">
        <v>32</v>
      </c>
      <c r="G6" s="91"/>
      <c r="H6" s="90" t="s">
        <v>127</v>
      </c>
      <c r="I6" s="92" t="s">
        <v>128</v>
      </c>
      <c r="J6" s="92" t="s">
        <v>129</v>
      </c>
      <c r="K6" s="92" t="s">
        <v>130</v>
      </c>
      <c r="L6" s="93">
        <v>252.98</v>
      </c>
      <c r="M6" s="93">
        <v>226.92</v>
      </c>
      <c r="N6" s="93">
        <v>384.71</v>
      </c>
      <c r="O6" s="93">
        <v>348</v>
      </c>
      <c r="P6" s="94">
        <f t="shared" si="0"/>
        <v>470</v>
      </c>
    </row>
    <row r="7" spans="1:16" s="12" customFormat="1" ht="32.1" customHeight="1">
      <c r="B7" s="86" t="str">
        <f>CONCATENATE("L-",E7,"-",F7)</f>
        <v>L-16-64</v>
      </c>
      <c r="D7" s="12" t="s">
        <v>117</v>
      </c>
      <c r="E7" s="13">
        <v>16</v>
      </c>
      <c r="F7" s="13">
        <v>64</v>
      </c>
      <c r="G7" s="13"/>
      <c r="H7" s="12" t="s">
        <v>131</v>
      </c>
      <c r="I7" s="77" t="s">
        <v>132</v>
      </c>
      <c r="J7" s="77" t="s">
        <v>133</v>
      </c>
      <c r="K7" s="77" t="s">
        <v>134</v>
      </c>
      <c r="L7" s="81">
        <v>505.96</v>
      </c>
      <c r="M7" s="81">
        <v>453.85</v>
      </c>
      <c r="N7" s="81">
        <v>674.52</v>
      </c>
      <c r="O7" s="81">
        <v>603</v>
      </c>
      <c r="P7" s="82">
        <f t="shared" si="0"/>
        <v>730</v>
      </c>
    </row>
    <row r="8" spans="1:16" s="12" customFormat="1" ht="32.1" customHeight="1">
      <c r="B8" s="86" t="str">
        <f t="shared" ref="B8:B11" si="1">CONCATENATE("W-",E8,"-",F8)</f>
        <v>W-2-8</v>
      </c>
      <c r="C8" s="12" t="s">
        <v>135</v>
      </c>
      <c r="D8" s="12" t="s">
        <v>136</v>
      </c>
      <c r="E8" s="13">
        <v>2</v>
      </c>
      <c r="F8" s="13">
        <v>8</v>
      </c>
      <c r="G8" s="13"/>
      <c r="H8" s="12" t="s">
        <v>118</v>
      </c>
      <c r="I8" s="77" t="s">
        <v>119</v>
      </c>
      <c r="J8" s="77" t="s">
        <v>120</v>
      </c>
      <c r="K8" s="77" t="s">
        <v>121</v>
      </c>
      <c r="L8" s="81">
        <v>130.59</v>
      </c>
      <c r="M8" s="81">
        <v>123.89</v>
      </c>
      <c r="N8" s="81">
        <v>78.11</v>
      </c>
      <c r="O8" s="81">
        <v>127.39</v>
      </c>
      <c r="P8" s="82">
        <f t="shared" si="0"/>
        <v>305</v>
      </c>
    </row>
    <row r="9" spans="1:16" s="12" customFormat="1" ht="32.1" customHeight="1">
      <c r="B9" s="89" t="str">
        <f t="shared" si="1"/>
        <v>W-4-16</v>
      </c>
      <c r="C9" s="90" t="s">
        <v>137</v>
      </c>
      <c r="D9" s="90" t="s">
        <v>138</v>
      </c>
      <c r="E9" s="91">
        <v>4</v>
      </c>
      <c r="F9" s="91">
        <v>16</v>
      </c>
      <c r="G9" s="91"/>
      <c r="H9" s="90" t="s">
        <v>122</v>
      </c>
      <c r="I9" s="92" t="s">
        <v>123</v>
      </c>
      <c r="J9" s="92" t="s">
        <v>124</v>
      </c>
      <c r="K9" s="92" t="s">
        <v>125</v>
      </c>
      <c r="L9" s="93">
        <v>261.18</v>
      </c>
      <c r="M9" s="93">
        <v>247.78</v>
      </c>
      <c r="N9" s="93">
        <v>156.22</v>
      </c>
      <c r="O9" s="93">
        <v>243.49</v>
      </c>
      <c r="P9" s="94">
        <f t="shared" si="0"/>
        <v>370</v>
      </c>
    </row>
    <row r="10" spans="1:16" s="12" customFormat="1" ht="32.1" customHeight="1">
      <c r="B10" s="89" t="str">
        <f t="shared" si="1"/>
        <v>W-8-16</v>
      </c>
      <c r="C10" s="90" t="s">
        <v>139</v>
      </c>
      <c r="D10" s="90" t="s">
        <v>138</v>
      </c>
      <c r="E10" s="91">
        <v>8</v>
      </c>
      <c r="F10" s="91">
        <v>16</v>
      </c>
      <c r="G10" s="91"/>
      <c r="H10" s="90" t="s">
        <v>140</v>
      </c>
      <c r="I10" s="92" t="s">
        <v>128</v>
      </c>
      <c r="J10" s="92" t="s">
        <v>129</v>
      </c>
      <c r="K10" s="92" t="s">
        <v>141</v>
      </c>
      <c r="L10" s="93">
        <v>493.37</v>
      </c>
      <c r="M10" s="144">
        <v>495.56</v>
      </c>
      <c r="N10" s="93">
        <v>313.17</v>
      </c>
      <c r="O10" s="93">
        <v>443.69</v>
      </c>
      <c r="P10" s="94">
        <f t="shared" si="0"/>
        <v>490</v>
      </c>
    </row>
    <row r="11" spans="1:16" s="12" customFormat="1" ht="32.1" customHeight="1">
      <c r="B11" s="86" t="str">
        <f t="shared" si="1"/>
        <v>W-8-32</v>
      </c>
      <c r="D11" s="12" t="s">
        <v>138</v>
      </c>
      <c r="E11" s="13">
        <v>8</v>
      </c>
      <c r="F11" s="13">
        <v>32</v>
      </c>
      <c r="G11" s="13"/>
      <c r="H11" s="12" t="s">
        <v>127</v>
      </c>
      <c r="I11" s="77" t="s">
        <v>128</v>
      </c>
      <c r="J11" s="77" t="s">
        <v>129</v>
      </c>
      <c r="K11" s="77" t="s">
        <v>130</v>
      </c>
      <c r="L11" s="81">
        <v>522.36</v>
      </c>
      <c r="M11" s="81">
        <v>495.56</v>
      </c>
      <c r="N11" s="81">
        <v>313.17</v>
      </c>
      <c r="O11" s="81">
        <v>477.69</v>
      </c>
      <c r="P11" s="82">
        <f t="shared" si="0"/>
        <v>500</v>
      </c>
    </row>
    <row r="12" spans="1:16" s="12" customFormat="1" ht="32.1" customHeight="1">
      <c r="B12" s="86" t="str">
        <f t="shared" ref="B12" si="2">CONCATENATE("W-",E12,"-",F12)</f>
        <v>W-16-64</v>
      </c>
      <c r="D12" s="12" t="s">
        <v>138</v>
      </c>
      <c r="E12" s="13">
        <v>16</v>
      </c>
      <c r="F12" s="13">
        <v>64</v>
      </c>
      <c r="G12" s="13"/>
      <c r="H12" s="12" t="s">
        <v>131</v>
      </c>
      <c r="I12" s="77" t="s">
        <v>132</v>
      </c>
      <c r="J12" s="77" t="s">
        <v>129</v>
      </c>
      <c r="K12" s="77" t="s">
        <v>130</v>
      </c>
      <c r="L12" s="81">
        <v>1044.72</v>
      </c>
      <c r="M12" s="81">
        <v>991.13</v>
      </c>
      <c r="N12" s="81">
        <v>626.34</v>
      </c>
      <c r="O12" s="81">
        <v>477.69</v>
      </c>
      <c r="P12" s="82">
        <f t="shared" ref="P12" si="3">IF($D12="RHEL", 210, IF(OR($D12="Win VDI", $D12="Win Server", $D12="Win SQL Server"), 240, 10000000)) + IF($D12="Win SQL Server", 200, 30)*$E12 + F12/32*20</f>
        <v>760</v>
      </c>
    </row>
    <row r="13" spans="1:16" s="12" customFormat="1" ht="32.1" customHeight="1">
      <c r="B13" s="89" t="str">
        <f>CONCATENATE("S-",E13,"-",F13)</f>
        <v>S-4-16</v>
      </c>
      <c r="C13" s="90" t="s">
        <v>142</v>
      </c>
      <c r="D13" s="90" t="s">
        <v>143</v>
      </c>
      <c r="E13" s="91">
        <v>4</v>
      </c>
      <c r="F13" s="91">
        <v>16</v>
      </c>
      <c r="G13" s="91"/>
      <c r="H13" s="90" t="s">
        <v>122</v>
      </c>
      <c r="I13" s="92" t="s">
        <v>123</v>
      </c>
      <c r="J13" s="92" t="s">
        <v>124</v>
      </c>
      <c r="K13" s="92" t="s">
        <v>125</v>
      </c>
      <c r="L13" s="93">
        <v>612.54</v>
      </c>
      <c r="M13" s="93">
        <v>728.12</v>
      </c>
      <c r="N13" s="93">
        <v>448.22</v>
      </c>
      <c r="O13" s="93">
        <v>575.49</v>
      </c>
      <c r="P13" s="94">
        <f t="shared" si="0"/>
        <v>1050</v>
      </c>
    </row>
    <row r="14" spans="1:16" s="12" customFormat="1" ht="32.1" customHeight="1">
      <c r="B14" s="86" t="str">
        <f>CONCATENATE("S-",E14,"-",F14)</f>
        <v>S-8-16</v>
      </c>
      <c r="C14" s="12" t="s">
        <v>144</v>
      </c>
      <c r="D14" s="12" t="s">
        <v>143</v>
      </c>
      <c r="E14" s="13">
        <v>8</v>
      </c>
      <c r="F14" s="13">
        <v>16</v>
      </c>
      <c r="G14" s="13"/>
      <c r="H14" s="12" t="s">
        <v>140</v>
      </c>
      <c r="I14" s="77" t="s">
        <v>128</v>
      </c>
      <c r="J14" s="77" t="s">
        <v>129</v>
      </c>
      <c r="K14" s="77" t="s">
        <v>141</v>
      </c>
      <c r="L14" s="81">
        <v>1196.0899999999999</v>
      </c>
      <c r="M14" s="81">
        <v>1456.24</v>
      </c>
      <c r="N14" s="81">
        <v>897.17</v>
      </c>
      <c r="O14" s="81">
        <v>1107.69</v>
      </c>
      <c r="P14" s="82">
        <f t="shared" si="0"/>
        <v>1850</v>
      </c>
    </row>
    <row r="15" spans="1:16" s="12" customFormat="1" ht="32.1" customHeight="1">
      <c r="B15" s="86" t="str">
        <f>CONCATENATE("S-",E15,"-",F15)</f>
        <v>S-8-32</v>
      </c>
      <c r="D15" s="12" t="s">
        <v>143</v>
      </c>
      <c r="E15" s="13">
        <v>8</v>
      </c>
      <c r="F15" s="13">
        <v>32</v>
      </c>
      <c r="G15" s="13"/>
      <c r="H15" s="12" t="s">
        <v>127</v>
      </c>
      <c r="I15" s="77" t="s">
        <v>128</v>
      </c>
      <c r="J15" s="77" t="s">
        <v>129</v>
      </c>
      <c r="K15" s="77" t="s">
        <v>130</v>
      </c>
      <c r="L15" s="81">
        <v>1225.08</v>
      </c>
      <c r="M15" s="81">
        <v>1456.24</v>
      </c>
      <c r="N15" s="81">
        <v>897.17</v>
      </c>
      <c r="O15" s="81">
        <v>1141.69</v>
      </c>
      <c r="P15" s="82">
        <f t="shared" si="0"/>
        <v>1860</v>
      </c>
    </row>
    <row r="16" spans="1:16" s="12" customFormat="1" ht="32.1" customHeight="1">
      <c r="B16" s="86" t="s">
        <v>145</v>
      </c>
      <c r="C16" s="12" t="s">
        <v>146</v>
      </c>
      <c r="D16" s="12" t="s">
        <v>147</v>
      </c>
      <c r="H16" s="12" t="s">
        <v>148</v>
      </c>
      <c r="I16" s="77" t="s">
        <v>149</v>
      </c>
      <c r="J16" s="77" t="s">
        <v>78</v>
      </c>
      <c r="K16" s="77" t="s">
        <v>150</v>
      </c>
      <c r="L16" s="81">
        <v>82.6</v>
      </c>
      <c r="M16" s="81">
        <v>170</v>
      </c>
      <c r="N16" s="81">
        <v>40.96</v>
      </c>
      <c r="O16" s="81">
        <v>57.14</v>
      </c>
      <c r="P16" s="82">
        <f>4*40</f>
        <v>160</v>
      </c>
    </row>
    <row r="17" spans="1:16" ht="36.950000000000003" customHeight="1">
      <c r="A17" s="76"/>
      <c r="B17" s="12"/>
      <c r="C17" s="12"/>
      <c r="D17" s="12"/>
      <c r="E17" s="12"/>
      <c r="F17" s="12"/>
      <c r="G17" s="12"/>
      <c r="H17" s="12"/>
      <c r="I17" s="77"/>
      <c r="J17" s="77"/>
      <c r="K17" s="77"/>
      <c r="L17" s="78"/>
      <c r="M17" s="78"/>
      <c r="N17" s="78"/>
      <c r="O17" s="78"/>
      <c r="P17" s="12"/>
    </row>
    <row r="18" spans="1:16" s="86" customFormat="1" ht="32.1" customHeight="1">
      <c r="B18" s="107" t="s">
        <v>70</v>
      </c>
      <c r="I18" s="87"/>
      <c r="J18" s="87"/>
      <c r="K18" s="87"/>
      <c r="L18" s="88"/>
      <c r="M18" s="88"/>
      <c r="N18" s="88"/>
      <c r="O18" s="88"/>
    </row>
    <row r="19" spans="1:16"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>
      <c r="B20" s="9"/>
      <c r="C20" s="9"/>
      <c r="D20" s="9"/>
      <c r="E20" s="9"/>
      <c r="F20" s="9"/>
      <c r="G20" s="9"/>
      <c r="H20" s="9"/>
      <c r="I20" s="74"/>
      <c r="J20" s="74"/>
      <c r="K20" s="74"/>
      <c r="L20" s="75"/>
      <c r="M20" s="75"/>
      <c r="N20" s="75"/>
      <c r="O20" s="75"/>
      <c r="P20" s="9"/>
    </row>
    <row r="21" spans="1:16" ht="32.1" customHeight="1">
      <c r="B21" s="85" t="s">
        <v>151</v>
      </c>
      <c r="C21" s="85" t="s">
        <v>152</v>
      </c>
      <c r="D21" s="85"/>
      <c r="E21" s="85"/>
      <c r="F21" s="46" t="s">
        <v>153</v>
      </c>
      <c r="G21" s="46"/>
      <c r="H21" s="9"/>
      <c r="I21" s="74"/>
      <c r="J21" s="74"/>
      <c r="K21" s="74"/>
      <c r="L21" s="75"/>
      <c r="M21" s="75"/>
      <c r="N21" s="75"/>
      <c r="O21" s="75"/>
      <c r="P21" s="9"/>
    </row>
    <row r="22" spans="1:16" ht="32.1" customHeight="1">
      <c r="B22" s="86" t="s">
        <v>154</v>
      </c>
      <c r="C22" s="98" t="s">
        <v>155</v>
      </c>
      <c r="D22" s="86"/>
      <c r="E22" s="97"/>
      <c r="F22" s="157">
        <v>44748</v>
      </c>
      <c r="G22" s="157"/>
      <c r="H22" s="157"/>
      <c r="I22" s="74"/>
      <c r="J22" s="74"/>
      <c r="K22" s="74"/>
      <c r="L22" s="75"/>
      <c r="M22" s="75"/>
      <c r="N22" s="75"/>
      <c r="O22" s="75"/>
      <c r="P22" s="9"/>
    </row>
    <row r="23" spans="1:16" ht="32.1" customHeight="1">
      <c r="B23" s="86" t="s">
        <v>156</v>
      </c>
      <c r="C23" s="98" t="s">
        <v>157</v>
      </c>
      <c r="D23" s="86"/>
      <c r="E23" s="97"/>
      <c r="F23" s="157">
        <v>44748</v>
      </c>
      <c r="G23" s="157"/>
      <c r="H23" s="157"/>
      <c r="I23" s="74"/>
      <c r="J23" s="74"/>
      <c r="K23" s="74"/>
      <c r="L23" s="75"/>
      <c r="M23" s="75"/>
      <c r="N23" s="75"/>
      <c r="O23" s="75"/>
      <c r="P23" s="9"/>
    </row>
    <row r="24" spans="1:16" ht="32.1" customHeight="1">
      <c r="B24" s="86" t="s">
        <v>158</v>
      </c>
      <c r="C24" s="98" t="s">
        <v>159</v>
      </c>
      <c r="D24" s="86"/>
      <c r="E24" s="97"/>
      <c r="F24" s="157">
        <v>44748</v>
      </c>
      <c r="G24" s="157"/>
      <c r="H24" s="157"/>
      <c r="I24" s="74"/>
      <c r="J24" s="74"/>
      <c r="K24" s="74"/>
      <c r="L24" s="75"/>
      <c r="M24" s="75"/>
      <c r="N24" s="75"/>
      <c r="O24" s="75"/>
      <c r="P24" s="9"/>
    </row>
    <row r="25" spans="1:16" ht="32.1" customHeight="1">
      <c r="B25" s="86" t="s">
        <v>160</v>
      </c>
      <c r="C25" s="135" t="s">
        <v>161</v>
      </c>
      <c r="D25" s="86"/>
      <c r="E25" s="97"/>
      <c r="F25" s="157">
        <v>43851</v>
      </c>
      <c r="G25" s="157"/>
      <c r="H25" s="157"/>
      <c r="I25" s="74"/>
      <c r="J25" s="74"/>
      <c r="K25" s="74"/>
      <c r="L25" s="75"/>
      <c r="M25" s="75"/>
      <c r="N25" s="75"/>
      <c r="O25" s="75"/>
      <c r="P25" s="9"/>
    </row>
    <row r="26" spans="1:16" ht="24" customHeight="1">
      <c r="B26" s="86"/>
      <c r="D26" s="34"/>
      <c r="E26" s="9"/>
      <c r="F26" s="9"/>
      <c r="G26" s="9"/>
      <c r="H26" s="9"/>
      <c r="I26" s="74"/>
      <c r="J26" s="74"/>
      <c r="K26" s="74"/>
      <c r="L26" s="75"/>
      <c r="M26" s="75"/>
      <c r="N26" s="75"/>
      <c r="O26" s="75"/>
      <c r="P26" s="9"/>
    </row>
    <row r="27" spans="1:16" ht="32.1" customHeight="1">
      <c r="B27" s="86"/>
      <c r="C27" s="103"/>
      <c r="D27" s="9"/>
      <c r="E27" s="9"/>
      <c r="F27" s="9"/>
      <c r="G27" s="9"/>
      <c r="H27" s="9"/>
      <c r="I27" s="74"/>
      <c r="J27" s="74"/>
      <c r="K27" s="74"/>
      <c r="L27" s="75"/>
      <c r="M27" s="75"/>
      <c r="N27" s="75"/>
      <c r="O27" s="75"/>
      <c r="P27" s="9"/>
    </row>
    <row r="28" spans="1:16">
      <c r="B28" s="9"/>
      <c r="C28" s="9"/>
      <c r="D28" s="9"/>
      <c r="E28" s="9"/>
      <c r="F28" s="9"/>
      <c r="G28" s="9"/>
      <c r="H28" s="9"/>
      <c r="I28" s="74"/>
      <c r="J28" s="74"/>
      <c r="K28" s="74"/>
      <c r="L28" s="75"/>
      <c r="M28" s="75"/>
      <c r="N28" s="75"/>
      <c r="O28" s="75"/>
      <c r="P28" s="9"/>
    </row>
    <row r="29" spans="1:16">
      <c r="B29" s="86"/>
    </row>
  </sheetData>
  <mergeCells count="4">
    <mergeCell ref="F25:H25"/>
    <mergeCell ref="F24:H24"/>
    <mergeCell ref="F22:H22"/>
    <mergeCell ref="F23:H23"/>
  </mergeCells>
  <phoneticPr fontId="18" type="noConversion"/>
  <hyperlinks>
    <hyperlink ref="C22" r:id="rId1" xr:uid="{00000000-0004-0000-0200-000000000000}"/>
    <hyperlink ref="C23" r:id="rId2" xr:uid="{00000000-0004-0000-0200-000001000000}"/>
    <hyperlink ref="C25" r:id="rId3" xr:uid="{00000000-0004-0000-0200-000002000000}"/>
    <hyperlink ref="C24" r:id="rId4" xr:uid="{00000000-0004-0000-0200-000003000000}"/>
  </hyperlinks>
  <pageMargins left="0.7" right="0.7" top="0.75" bottom="0.75" header="0.3" footer="0.3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CCBBB-4CB9-2949-9960-39EFB67C0B14}">
  <sheetPr>
    <tabColor rgb="FFFD6B21"/>
  </sheetPr>
  <dimension ref="B1:BL97"/>
  <sheetViews>
    <sheetView showGridLines="0" zoomScaleNormal="100" workbookViewId="0">
      <pane ySplit="1" topLeftCell="A2" activePane="bottomLeft" state="frozen"/>
      <selection pane="bottomLeft" activeCell="BD14" sqref="BD14"/>
    </sheetView>
  </sheetViews>
  <sheetFormatPr defaultColWidth="8.85546875" defaultRowHeight="15" outlineLevelCol="1"/>
  <cols>
    <col min="1" max="2" width="3" style="1" customWidth="1"/>
    <col min="3" max="3" width="24.85546875" style="1" customWidth="1"/>
    <col min="4" max="4" width="15" style="1" hidden="1" customWidth="1" outlineLevel="1"/>
    <col min="5" max="5" width="14.42578125" style="1" hidden="1" customWidth="1" outlineLevel="1"/>
    <col min="6" max="6" width="12.42578125" style="1" hidden="1" customWidth="1" outlineLevel="1"/>
    <col min="7" max="7" width="6" style="1" hidden="1" customWidth="1" outlineLevel="1"/>
    <col min="8" max="8" width="14.42578125" style="1" hidden="1" customWidth="1" outlineLevel="1"/>
    <col min="9" max="9" width="14.85546875" style="1" hidden="1" customWidth="1" outlineLevel="1"/>
    <col min="10" max="10" width="6" style="1" hidden="1" customWidth="1" outlineLevel="1"/>
    <col min="11" max="11" width="9.140625" style="1" hidden="1" customWidth="1" outlineLevel="1"/>
    <col min="12" max="12" width="8.85546875" style="1" hidden="1" customWidth="1" outlineLevel="1"/>
    <col min="13" max="13" width="5.85546875" style="4" customWidth="1" collapsed="1"/>
    <col min="14" max="14" width="11.85546875" style="1" customWidth="1"/>
    <col min="15" max="15" width="5.85546875" style="1" customWidth="1"/>
    <col min="16" max="24" width="11.85546875" style="1" hidden="1" customWidth="1"/>
    <col min="25" max="25" width="15.7109375" style="1" hidden="1" customWidth="1" outlineLevel="1"/>
    <col min="26" max="26" width="16.85546875" style="1" hidden="1" customWidth="1" outlineLevel="1"/>
    <col min="27" max="27" width="13.28515625" style="1" hidden="1" customWidth="1" outlineLevel="1"/>
    <col min="28" max="28" width="5.85546875" style="1" hidden="1" customWidth="1" outlineLevel="1"/>
    <col min="29" max="29" width="14.7109375" style="1" hidden="1" customWidth="1" outlineLevel="1"/>
    <col min="30" max="30" width="14.42578125" style="1" hidden="1" customWidth="1" outlineLevel="1"/>
    <col min="31" max="31" width="7.140625" style="1" hidden="1" customWidth="1" outlineLevel="1"/>
    <col min="32" max="32" width="7.7109375" style="1" hidden="1" customWidth="1" outlineLevel="1"/>
    <col min="33" max="33" width="8.7109375" style="1" hidden="1" customWidth="1" outlineLevel="1"/>
    <col min="34" max="34" width="12.140625" style="1" hidden="1" customWidth="1" collapsed="1"/>
    <col min="35" max="41" width="12.140625" style="1" hidden="1" customWidth="1"/>
    <col min="42" max="42" width="13" style="1" hidden="1" customWidth="1" outlineLevel="1"/>
    <col min="43" max="43" width="15.42578125" style="1" hidden="1" customWidth="1" outlineLevel="1"/>
    <col min="44" max="44" width="14.140625" style="1" hidden="1" customWidth="1" outlineLevel="1"/>
    <col min="45" max="45" width="6" style="1" hidden="1" customWidth="1" outlineLevel="1"/>
    <col min="46" max="46" width="13.42578125" style="1" hidden="1" customWidth="1" outlineLevel="1"/>
    <col min="47" max="47" width="14.28515625" style="1" hidden="1" customWidth="1" outlineLevel="1"/>
    <col min="48" max="48" width="8" style="1" hidden="1" customWidth="1" outlineLevel="1"/>
    <col min="49" max="49" width="9.42578125" style="1" hidden="1" customWidth="1" outlineLevel="1"/>
    <col min="50" max="50" width="9" style="1" hidden="1" customWidth="1" outlineLevel="1"/>
    <col min="51" max="51" width="5.7109375" style="1" customWidth="1" collapsed="1"/>
    <col min="52" max="52" width="11.85546875" style="1" customWidth="1"/>
    <col min="53" max="53" width="4.7109375" style="1" customWidth="1"/>
    <col min="54" max="54" width="14.28515625" style="1" customWidth="1"/>
    <col min="55" max="55" width="2.85546875" style="1" customWidth="1"/>
    <col min="56" max="56" width="5.85546875" style="1" customWidth="1"/>
    <col min="57" max="59" width="8.85546875" style="1"/>
    <col min="60" max="60" width="8.85546875" style="1" customWidth="1"/>
    <col min="61" max="16384" width="8.85546875" style="1"/>
  </cols>
  <sheetData>
    <row r="1" spans="2:64" ht="60" customHeight="1">
      <c r="B1" s="8" t="s">
        <v>69</v>
      </c>
      <c r="D1" s="151" t="s">
        <v>162</v>
      </c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  <c r="AB1" s="151"/>
      <c r="AC1" s="151"/>
      <c r="AD1" s="151"/>
      <c r="AE1" s="151"/>
      <c r="AF1" s="151"/>
      <c r="AG1" s="151"/>
      <c r="AH1" s="151"/>
      <c r="AI1" s="151"/>
      <c r="AJ1" s="151"/>
      <c r="AK1" s="151"/>
      <c r="AL1" s="151"/>
      <c r="AM1" s="151"/>
      <c r="AN1" s="151"/>
      <c r="AO1" s="151"/>
      <c r="AP1" s="151"/>
      <c r="AQ1" s="151"/>
      <c r="AR1" s="151"/>
      <c r="AS1" s="151"/>
      <c r="AT1" s="151"/>
      <c r="AU1" s="151"/>
      <c r="AV1" s="151"/>
      <c r="AW1" s="151"/>
      <c r="AX1" s="151"/>
      <c r="AY1" s="151"/>
      <c r="AZ1" s="151"/>
      <c r="BA1" s="151"/>
      <c r="BB1" s="151"/>
      <c r="BC1" s="151"/>
      <c r="BD1" s="151"/>
      <c r="BE1" s="151"/>
      <c r="BF1" s="151"/>
      <c r="BG1" s="151"/>
      <c r="BH1" s="151"/>
    </row>
    <row r="2" spans="2:64" ht="11.1" customHeight="1">
      <c r="B2" s="18"/>
      <c r="C2" s="18"/>
      <c r="D2" s="19"/>
      <c r="E2" s="19"/>
      <c r="F2" s="19"/>
      <c r="G2" s="19"/>
      <c r="H2" s="19"/>
      <c r="I2" s="19"/>
      <c r="J2" s="19"/>
      <c r="K2" s="19"/>
      <c r="L2" s="19"/>
      <c r="M2" s="20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9"/>
      <c r="BI2"/>
      <c r="BJ2"/>
      <c r="BK2"/>
      <c r="BL2"/>
    </row>
    <row r="3" spans="2:64" ht="32.1" customHeight="1">
      <c r="B3" s="46"/>
      <c r="C3" s="46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54"/>
      <c r="Z3" s="154"/>
      <c r="AA3" s="154"/>
      <c r="AB3" s="154"/>
      <c r="AC3" s="154"/>
      <c r="AD3" s="154"/>
      <c r="AE3" s="154"/>
      <c r="AF3" s="154"/>
      <c r="AG3" s="154"/>
      <c r="AH3" s="141"/>
      <c r="AI3" s="141"/>
      <c r="AJ3" s="141"/>
      <c r="AK3" s="141"/>
      <c r="AL3" s="141"/>
      <c r="AM3" s="141"/>
      <c r="AN3" s="141"/>
      <c r="AO3" s="141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47"/>
      <c r="BB3" s="158"/>
      <c r="BC3" s="142"/>
      <c r="BD3" s="9"/>
      <c r="BE3" s="85" t="s">
        <v>75</v>
      </c>
      <c r="BF3" s="85"/>
      <c r="BG3" s="85"/>
      <c r="BH3" s="85"/>
      <c r="BI3"/>
      <c r="BJ3"/>
      <c r="BK3"/>
      <c r="BL3"/>
    </row>
    <row r="4" spans="2:64" ht="32.1" customHeight="1">
      <c r="B4" s="38"/>
      <c r="C4" s="39"/>
      <c r="D4" s="40"/>
      <c r="E4" s="40"/>
      <c r="F4" s="40"/>
      <c r="G4" s="40"/>
      <c r="H4" s="39"/>
      <c r="I4" s="39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1"/>
      <c r="AC4" s="42"/>
      <c r="AD4" s="39"/>
      <c r="AE4" s="40"/>
      <c r="AF4" s="43"/>
      <c r="AG4" s="43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2"/>
      <c r="AU4" s="42"/>
      <c r="AV4" s="40"/>
      <c r="AW4" s="43"/>
      <c r="AX4" s="43"/>
      <c r="AY4" s="43"/>
      <c r="AZ4" s="44"/>
      <c r="BA4" s="44"/>
      <c r="BB4" s="158"/>
      <c r="BC4" s="142"/>
      <c r="BD4" s="9"/>
      <c r="BE4" s="86" t="s">
        <v>88</v>
      </c>
      <c r="BF4" s="104"/>
      <c r="BG4" s="152" t="s">
        <v>113</v>
      </c>
      <c r="BH4" s="152"/>
      <c r="BI4" s="104"/>
      <c r="BJ4"/>
      <c r="BK4"/>
      <c r="BL4"/>
    </row>
    <row r="5" spans="2:64" ht="24" customHeight="1">
      <c r="B5" s="16"/>
      <c r="C5" s="17"/>
      <c r="D5" s="21"/>
      <c r="E5" s="21"/>
      <c r="F5" s="21"/>
      <c r="G5" s="21"/>
      <c r="H5" s="31"/>
      <c r="I5" s="12"/>
      <c r="J5" s="13"/>
      <c r="K5" s="13"/>
      <c r="L5" s="105"/>
      <c r="M5" s="13"/>
      <c r="N5" s="35"/>
      <c r="O5" s="21"/>
      <c r="P5" s="21"/>
      <c r="Q5" s="21"/>
      <c r="R5" s="21"/>
      <c r="S5" s="21"/>
      <c r="T5" s="21"/>
      <c r="U5" s="21"/>
      <c r="V5" s="21"/>
      <c r="W5" s="21"/>
      <c r="X5" s="21"/>
      <c r="Y5" s="32"/>
      <c r="Z5" s="32"/>
      <c r="AA5" s="32"/>
      <c r="AB5" s="32"/>
      <c r="AC5" s="31"/>
      <c r="AD5" s="34"/>
      <c r="AE5" s="13"/>
      <c r="AF5" s="13"/>
      <c r="AG5" s="14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30"/>
      <c r="AU5" s="12"/>
      <c r="AV5" s="13"/>
      <c r="AW5" s="13"/>
      <c r="AX5" s="14"/>
      <c r="AY5" s="14"/>
      <c r="AZ5" s="21"/>
      <c r="BA5" s="35"/>
      <c r="BB5" s="60"/>
      <c r="BC5" s="60"/>
      <c r="BD5" s="9"/>
      <c r="BE5"/>
      <c r="BF5"/>
      <c r="BG5"/>
      <c r="BH5"/>
      <c r="BI5"/>
      <c r="BJ5"/>
      <c r="BK5"/>
      <c r="BL5"/>
    </row>
    <row r="6" spans="2:64" ht="24" customHeight="1">
      <c r="B6" s="16"/>
      <c r="C6" s="17"/>
      <c r="D6" s="35"/>
      <c r="E6" s="21"/>
      <c r="F6" s="21"/>
      <c r="G6" s="35"/>
      <c r="H6" s="30"/>
      <c r="I6" s="12"/>
      <c r="J6" s="13"/>
      <c r="K6" s="13"/>
      <c r="L6" s="106"/>
      <c r="M6" s="13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7"/>
      <c r="Z6" s="32"/>
      <c r="AA6" s="32"/>
      <c r="AB6" s="37"/>
      <c r="AC6" s="30"/>
      <c r="AD6" s="34"/>
      <c r="AE6" s="13"/>
      <c r="AF6" s="13"/>
      <c r="AG6" s="15"/>
      <c r="AH6" s="35"/>
      <c r="AI6" s="35"/>
      <c r="AJ6" s="35"/>
      <c r="AK6" s="35"/>
      <c r="AL6" s="35"/>
      <c r="AM6" s="35"/>
      <c r="AN6" s="35"/>
      <c r="AO6" s="35"/>
      <c r="AP6" s="35"/>
      <c r="AQ6" s="21"/>
      <c r="AR6" s="21"/>
      <c r="AS6" s="35"/>
      <c r="AT6" s="30"/>
      <c r="AU6" s="12"/>
      <c r="AV6" s="13"/>
      <c r="AW6" s="13"/>
      <c r="AX6" s="15"/>
      <c r="AY6" s="13"/>
      <c r="AZ6" s="35"/>
      <c r="BA6" s="35"/>
      <c r="BB6" s="60"/>
      <c r="BC6" s="60"/>
      <c r="BD6" s="9"/>
      <c r="BE6" s="116"/>
      <c r="BF6" s="116"/>
      <c r="BG6" s="116"/>
      <c r="BH6" s="116"/>
    </row>
    <row r="7" spans="2:64" ht="24" customHeight="1">
      <c r="B7" s="16"/>
      <c r="C7" s="17"/>
      <c r="D7" s="35"/>
      <c r="E7" s="21"/>
      <c r="F7" s="21"/>
      <c r="G7" s="35"/>
      <c r="H7" s="30"/>
      <c r="I7" s="12"/>
      <c r="J7" s="13"/>
      <c r="K7" s="13"/>
      <c r="L7" s="29"/>
      <c r="M7" s="13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7"/>
      <c r="Z7" s="32"/>
      <c r="AA7" s="32"/>
      <c r="AB7" s="37"/>
      <c r="AC7" s="30"/>
      <c r="AD7" s="34"/>
      <c r="AE7" s="13"/>
      <c r="AF7" s="13"/>
      <c r="AG7" s="13"/>
      <c r="AH7" s="35"/>
      <c r="AI7" s="35"/>
      <c r="AJ7" s="35"/>
      <c r="AK7" s="35"/>
      <c r="AL7" s="35"/>
      <c r="AM7" s="35"/>
      <c r="AN7" s="35"/>
      <c r="AO7" s="35"/>
      <c r="AP7" s="35"/>
      <c r="AQ7" s="21"/>
      <c r="AR7" s="21"/>
      <c r="AS7" s="35"/>
      <c r="AT7" s="30"/>
      <c r="AU7" s="12"/>
      <c r="AV7" s="13"/>
      <c r="AW7" s="13"/>
      <c r="AX7" s="13"/>
      <c r="AY7" s="13"/>
      <c r="AZ7" s="35"/>
      <c r="BA7" s="35"/>
      <c r="BB7" s="60"/>
      <c r="BC7" s="60"/>
      <c r="BD7" s="9"/>
      <c r="BE7" s="86"/>
      <c r="BF7"/>
      <c r="BG7" s="86"/>
      <c r="BH7" s="140"/>
    </row>
    <row r="8" spans="2:64" ht="24" customHeight="1">
      <c r="B8" s="16"/>
      <c r="C8" s="17"/>
      <c r="D8" s="35"/>
      <c r="E8" s="21"/>
      <c r="F8" s="21"/>
      <c r="G8" s="35"/>
      <c r="H8" s="30"/>
      <c r="I8" s="12"/>
      <c r="J8" s="13"/>
      <c r="K8" s="13"/>
      <c r="L8" s="29"/>
      <c r="M8" s="13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7"/>
      <c r="Z8" s="32"/>
      <c r="AA8" s="32"/>
      <c r="AB8" s="37"/>
      <c r="AC8" s="30"/>
      <c r="AD8" s="34"/>
      <c r="AE8" s="13"/>
      <c r="AF8" s="13"/>
      <c r="AG8" s="13"/>
      <c r="AH8" s="35"/>
      <c r="AI8" s="35"/>
      <c r="AJ8" s="35"/>
      <c r="AK8" s="35"/>
      <c r="AL8" s="35"/>
      <c r="AM8" s="35"/>
      <c r="AN8" s="35"/>
      <c r="AO8" s="35"/>
      <c r="AP8" s="35"/>
      <c r="AQ8" s="21"/>
      <c r="AR8" s="21"/>
      <c r="AS8" s="35"/>
      <c r="AT8" s="30"/>
      <c r="AU8" s="12"/>
      <c r="AV8" s="13"/>
      <c r="AW8" s="13"/>
      <c r="AX8" s="13"/>
      <c r="AY8" s="13"/>
      <c r="AZ8" s="35"/>
      <c r="BA8" s="35"/>
      <c r="BB8" s="60"/>
      <c r="BC8" s="60"/>
      <c r="BD8" s="9"/>
      <c r="BE8" s="86"/>
      <c r="BF8"/>
      <c r="BG8" s="86"/>
      <c r="BH8" s="140"/>
    </row>
    <row r="9" spans="2:64" ht="24" customHeight="1">
      <c r="B9" s="16"/>
      <c r="C9" s="17"/>
      <c r="D9" s="35"/>
      <c r="E9" s="21"/>
      <c r="F9" s="21"/>
      <c r="G9" s="35"/>
      <c r="H9" s="30"/>
      <c r="I9" s="12"/>
      <c r="J9" s="13"/>
      <c r="K9" s="13"/>
      <c r="L9" s="29"/>
      <c r="M9" s="13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7"/>
      <c r="Z9" s="32"/>
      <c r="AA9" s="32"/>
      <c r="AB9" s="37"/>
      <c r="AC9" s="30"/>
      <c r="AD9" s="34"/>
      <c r="AE9" s="13"/>
      <c r="AF9" s="13"/>
      <c r="AG9" s="13"/>
      <c r="AH9" s="35"/>
      <c r="AI9" s="35"/>
      <c r="AJ9" s="35"/>
      <c r="AK9" s="35"/>
      <c r="AL9" s="35"/>
      <c r="AM9" s="35"/>
      <c r="AN9" s="35"/>
      <c r="AO9" s="35"/>
      <c r="AP9" s="35"/>
      <c r="AQ9" s="21"/>
      <c r="AR9" s="21"/>
      <c r="AS9" s="35"/>
      <c r="AT9" s="30"/>
      <c r="AU9" s="12"/>
      <c r="AV9" s="13"/>
      <c r="AW9" s="13"/>
      <c r="AX9" s="13"/>
      <c r="AY9" s="13"/>
      <c r="AZ9" s="35"/>
      <c r="BA9" s="35"/>
      <c r="BB9" s="60"/>
      <c r="BC9" s="60"/>
      <c r="BD9" s="9"/>
      <c r="BE9" s="86"/>
      <c r="BF9"/>
      <c r="BG9"/>
      <c r="BH9" s="140"/>
    </row>
    <row r="10" spans="2:64" ht="24" customHeight="1">
      <c r="B10" s="16"/>
      <c r="C10" s="17"/>
      <c r="D10" s="35"/>
      <c r="E10" s="21"/>
      <c r="F10" s="21"/>
      <c r="G10" s="35"/>
      <c r="H10" s="30"/>
      <c r="I10" s="12"/>
      <c r="J10" s="13"/>
      <c r="K10" s="13"/>
      <c r="L10" s="29"/>
      <c r="M10" s="13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7"/>
      <c r="Z10" s="32"/>
      <c r="AA10" s="32"/>
      <c r="AB10" s="37"/>
      <c r="AC10" s="30"/>
      <c r="AD10" s="34"/>
      <c r="AE10" s="13"/>
      <c r="AF10" s="13"/>
      <c r="AG10" s="13"/>
      <c r="AH10" s="35"/>
      <c r="AI10" s="35"/>
      <c r="AJ10" s="35"/>
      <c r="AK10" s="35"/>
      <c r="AL10" s="35"/>
      <c r="AM10" s="35"/>
      <c r="AN10" s="35"/>
      <c r="AO10" s="35"/>
      <c r="AP10" s="35"/>
      <c r="AQ10" s="21"/>
      <c r="AR10" s="21"/>
      <c r="AS10" s="35"/>
      <c r="AT10" s="30"/>
      <c r="AU10" s="12"/>
      <c r="AV10" s="13"/>
      <c r="AW10" s="13"/>
      <c r="AX10" s="13"/>
      <c r="AY10" s="13"/>
      <c r="AZ10" s="35"/>
      <c r="BA10" s="35"/>
      <c r="BB10" s="60"/>
      <c r="BC10" s="60"/>
      <c r="BD10" s="9"/>
      <c r="BE10" s="86"/>
      <c r="BF10"/>
      <c r="BG10"/>
      <c r="BH10"/>
    </row>
    <row r="11" spans="2:64" ht="24" customHeight="1">
      <c r="B11" s="16"/>
      <c r="C11" s="17"/>
      <c r="D11" s="35"/>
      <c r="E11" s="21"/>
      <c r="F11" s="21"/>
      <c r="G11" s="35"/>
      <c r="H11" s="30"/>
      <c r="I11" s="12"/>
      <c r="J11" s="13"/>
      <c r="K11" s="13"/>
      <c r="L11" s="29"/>
      <c r="M11" s="13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7"/>
      <c r="Z11" s="32"/>
      <c r="AA11" s="32"/>
      <c r="AB11" s="37"/>
      <c r="AC11" s="30"/>
      <c r="AD11" s="34"/>
      <c r="AE11" s="13"/>
      <c r="AF11" s="13"/>
      <c r="AG11" s="13"/>
      <c r="AH11" s="35"/>
      <c r="AI11" s="35"/>
      <c r="AJ11" s="35"/>
      <c r="AK11" s="35"/>
      <c r="AL11" s="35"/>
      <c r="AM11" s="35"/>
      <c r="AN11" s="35"/>
      <c r="AO11" s="35"/>
      <c r="AP11" s="35"/>
      <c r="AQ11" s="21"/>
      <c r="AR11" s="21"/>
      <c r="AS11" s="35"/>
      <c r="AT11" s="30"/>
      <c r="AU11" s="12"/>
      <c r="AV11" s="13"/>
      <c r="AW11" s="13"/>
      <c r="AX11" s="13"/>
      <c r="AY11" s="13"/>
      <c r="AZ11" s="35"/>
      <c r="BA11" s="35"/>
      <c r="BB11" s="60"/>
      <c r="BC11" s="60"/>
      <c r="BD11" s="9"/>
      <c r="BE11" s="116"/>
      <c r="BF11" s="116"/>
      <c r="BG11" s="116"/>
      <c r="BH11" s="116"/>
    </row>
    <row r="12" spans="2:64" ht="24" customHeight="1">
      <c r="B12" s="16"/>
      <c r="C12" s="17"/>
      <c r="D12" s="21"/>
      <c r="E12" s="21"/>
      <c r="F12" s="21"/>
      <c r="G12" s="21"/>
      <c r="H12" s="31"/>
      <c r="I12" s="12"/>
      <c r="J12" s="13"/>
      <c r="K12" s="13"/>
      <c r="L12" s="29"/>
      <c r="M12" s="13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32"/>
      <c r="Z12" s="32"/>
      <c r="AA12" s="32"/>
      <c r="AB12" s="32"/>
      <c r="AC12" s="31"/>
      <c r="AD12" s="34"/>
      <c r="AE12" s="13"/>
      <c r="AF12" s="13"/>
      <c r="AG12" s="13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30"/>
      <c r="AU12" s="12"/>
      <c r="AV12" s="13"/>
      <c r="AW12" s="13"/>
      <c r="AX12" s="13"/>
      <c r="AY12" s="13"/>
      <c r="AZ12" s="21"/>
      <c r="BA12" s="35"/>
      <c r="BB12" s="60"/>
      <c r="BC12" s="60"/>
      <c r="BD12" s="9"/>
      <c r="BE12" s="86"/>
      <c r="BF12"/>
      <c r="BG12"/>
      <c r="BH12" s="140"/>
    </row>
    <row r="13" spans="2:64" ht="24" customHeight="1">
      <c r="B13" s="64"/>
      <c r="C13" s="54"/>
      <c r="D13" s="55"/>
      <c r="E13" s="55"/>
      <c r="F13" s="55"/>
      <c r="G13" s="55"/>
      <c r="H13" s="56"/>
      <c r="I13" s="56"/>
      <c r="J13" s="56"/>
      <c r="K13" s="56"/>
      <c r="L13" s="55"/>
      <c r="M13" s="56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7"/>
      <c r="Z13" s="57"/>
      <c r="AA13" s="57"/>
      <c r="AB13" s="57"/>
      <c r="AC13" s="56"/>
      <c r="AD13" s="56"/>
      <c r="AE13" s="56"/>
      <c r="AF13" s="56"/>
      <c r="AG13" s="56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6"/>
      <c r="AU13" s="56"/>
      <c r="AV13" s="56"/>
      <c r="AW13" s="56"/>
      <c r="AX13" s="56"/>
      <c r="AY13" s="56"/>
      <c r="AZ13" s="55"/>
      <c r="BA13" s="45"/>
      <c r="BB13" s="59"/>
      <c r="BC13" s="59"/>
      <c r="BD13" s="9"/>
      <c r="BE13" s="86"/>
      <c r="BF13"/>
      <c r="BG13"/>
      <c r="BH13" s="140"/>
    </row>
    <row r="14" spans="2:64" ht="24.95" customHeight="1">
      <c r="B14" s="65"/>
      <c r="C14" s="23"/>
      <c r="D14" s="25"/>
      <c r="E14" s="25"/>
      <c r="F14" s="25"/>
      <c r="G14" s="25"/>
      <c r="H14" s="24"/>
      <c r="I14" s="24"/>
      <c r="J14" s="24"/>
      <c r="K14" s="24"/>
      <c r="L14" s="24"/>
      <c r="M14" s="24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33"/>
      <c r="Z14" s="33"/>
      <c r="AA14" s="33"/>
      <c r="AB14" s="33"/>
      <c r="AC14" s="24"/>
      <c r="AD14" s="24"/>
      <c r="AE14" s="24"/>
      <c r="AF14" s="24"/>
      <c r="AG14" s="24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4"/>
      <c r="AU14" s="24"/>
      <c r="AV14" s="24"/>
      <c r="AW14" s="24"/>
      <c r="AX14" s="24"/>
      <c r="AY14" s="24"/>
      <c r="AZ14" s="25"/>
      <c r="BA14" s="58"/>
      <c r="BB14" s="61"/>
      <c r="BC14" s="61"/>
      <c r="BD14" s="9"/>
      <c r="BE14" s="86"/>
      <c r="BF14"/>
      <c r="BG14"/>
      <c r="BH14" s="140"/>
    </row>
    <row r="15" spans="2:64" ht="39.950000000000003" customHeight="1"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51"/>
      <c r="BC15" s="51"/>
      <c r="BD15" s="9"/>
      <c r="BE15" s="86"/>
      <c r="BF15"/>
      <c r="BG15"/>
      <c r="BH15" s="140"/>
    </row>
    <row r="16" spans="2:64" ht="32.1" customHeight="1">
      <c r="B16" s="48"/>
      <c r="C16" s="79" t="s">
        <v>163</v>
      </c>
      <c r="D16" s="154" t="s">
        <v>164</v>
      </c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54" t="s">
        <v>72</v>
      </c>
      <c r="Z16" s="154"/>
      <c r="AA16" s="154"/>
      <c r="AB16" s="154"/>
      <c r="AC16" s="154"/>
      <c r="AD16" s="154"/>
      <c r="AE16" s="154"/>
      <c r="AF16" s="154"/>
      <c r="AG16" s="154"/>
      <c r="AH16" s="141"/>
      <c r="AI16" s="141"/>
      <c r="AJ16" s="141"/>
      <c r="AK16" s="141"/>
      <c r="AL16" s="141"/>
      <c r="AM16" s="141"/>
      <c r="AN16" s="141"/>
      <c r="AO16" s="141"/>
      <c r="AP16" s="154" t="s">
        <v>73</v>
      </c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79"/>
      <c r="BB16" s="158" t="s">
        <v>74</v>
      </c>
      <c r="BC16" s="142"/>
      <c r="BD16" s="9"/>
      <c r="BE16" s="86"/>
      <c r="BF16"/>
      <c r="BG16"/>
      <c r="BH16" s="140"/>
    </row>
    <row r="17" spans="2:60" ht="32.1" customHeight="1">
      <c r="B17" s="66"/>
      <c r="C17" s="42" t="s">
        <v>76</v>
      </c>
      <c r="D17" s="40" t="s">
        <v>79</v>
      </c>
      <c r="E17" s="40" t="s">
        <v>82</v>
      </c>
      <c r="F17" s="40" t="s">
        <v>83</v>
      </c>
      <c r="G17" s="42"/>
      <c r="H17" s="42" t="s">
        <v>77</v>
      </c>
      <c r="I17" s="39" t="s">
        <v>84</v>
      </c>
      <c r="J17" s="39" t="s">
        <v>85</v>
      </c>
      <c r="K17" s="40" t="s">
        <v>86</v>
      </c>
      <c r="L17" s="40" t="s">
        <v>78</v>
      </c>
      <c r="M17" s="40" t="s">
        <v>80</v>
      </c>
      <c r="N17" s="40" t="s">
        <v>81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0" t="s">
        <v>79</v>
      </c>
      <c r="Z17" s="40" t="s">
        <v>82</v>
      </c>
      <c r="AA17" s="40" t="s">
        <v>83</v>
      </c>
      <c r="AB17" s="42"/>
      <c r="AC17" s="42" t="s">
        <v>77</v>
      </c>
      <c r="AD17" s="42" t="s">
        <v>84</v>
      </c>
      <c r="AE17" s="40" t="s">
        <v>85</v>
      </c>
      <c r="AF17" s="43" t="s">
        <v>86</v>
      </c>
      <c r="AG17" s="43" t="s">
        <v>78</v>
      </c>
      <c r="AH17" s="42"/>
      <c r="AI17" s="42"/>
      <c r="AJ17" s="42"/>
      <c r="AK17" s="42"/>
      <c r="AL17" s="42"/>
      <c r="AM17" s="42"/>
      <c r="AN17" s="42"/>
      <c r="AO17" s="42"/>
      <c r="AP17" s="40" t="s">
        <v>79</v>
      </c>
      <c r="AQ17" s="40" t="s">
        <v>82</v>
      </c>
      <c r="AR17" s="40" t="s">
        <v>83</v>
      </c>
      <c r="AS17" s="42"/>
      <c r="AT17" s="39" t="s">
        <v>77</v>
      </c>
      <c r="AU17" s="42" t="s">
        <v>84</v>
      </c>
      <c r="AV17" s="40" t="s">
        <v>85</v>
      </c>
      <c r="AW17" s="43" t="s">
        <v>86</v>
      </c>
      <c r="AX17" s="43" t="s">
        <v>78</v>
      </c>
      <c r="AY17" s="43" t="s">
        <v>80</v>
      </c>
      <c r="AZ17" s="43" t="s">
        <v>81</v>
      </c>
      <c r="BA17" s="49"/>
      <c r="BB17" s="158"/>
      <c r="BC17" s="142"/>
      <c r="BD17" s="9"/>
    </row>
    <row r="18" spans="2:60" ht="24" customHeight="1">
      <c r="B18" s="9"/>
      <c r="C18" s="17" t="s">
        <v>165</v>
      </c>
      <c r="D18" s="22" t="e">
        <f>SUM(E18:F18)</f>
        <v>#N/A</v>
      </c>
      <c r="E18" s="21" t="e">
        <f>VLOOKUP($H18,'Hardware costs'!$B$4:$W$16,MATCH($BG$4,'Hardware costs'!$B$3:$W$3, 0),FALSE) * 12</f>
        <v>#N/A</v>
      </c>
      <c r="F18" s="21">
        <f>L18/1000*VLOOKUP("HDD-1TB",'Hardware costs'!$B$4:$W$16,MATCH($BG$4,'Hardware costs'!$B$3:$W$3, 0),FALSE) * 12</f>
        <v>408</v>
      </c>
      <c r="G18" s="11"/>
      <c r="H18" s="31" t="s">
        <v>166</v>
      </c>
      <c r="I18" s="34" t="e">
        <f>VLOOKUP($H18,'Hardware costs'!$B$4:$N$16,3,FALSE)</f>
        <v>#N/A</v>
      </c>
      <c r="J18" s="34" t="e">
        <f>VLOOKUP($H18,'Hardware costs'!$B$4:$N$16,4,FALSE)</f>
        <v>#N/A</v>
      </c>
      <c r="K18" s="34" t="e">
        <f>VLOOKUP($H18,'Hardware costs'!$B$4:$N$16,5,FALSE)</f>
        <v>#N/A</v>
      </c>
      <c r="L18" s="27" t="s">
        <v>167</v>
      </c>
      <c r="M18" s="13">
        <v>1</v>
      </c>
      <c r="N18" s="21" t="e">
        <f>M18*D18</f>
        <v>#N/A</v>
      </c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21" t="e">
        <f>Z18+AA18</f>
        <v>#N/A</v>
      </c>
      <c r="Z18" s="32" t="e">
        <f>VLOOKUP($AC18,'Hardware costs'!$B$4:$W$16,MATCH($BG$4,'Hardware costs'!$B$3:$W$3, 0),FALSE) * 12</f>
        <v>#N/A</v>
      </c>
      <c r="AA18" s="32">
        <f>AG18/1000*VLOOKUP("HDD-1TB",'Hardware costs'!$B$4:$W$16,MATCH($BG$4,'Hardware costs'!$B$3:$W$3, 0),FALSE) * 12</f>
        <v>408</v>
      </c>
      <c r="AB18" s="11"/>
      <c r="AC18" s="31" t="s">
        <v>166</v>
      </c>
      <c r="AD18" s="12" t="e">
        <f>VLOOKUP($AC18,'Hardware costs'!$B$4:$N$16,3,FALSE)</f>
        <v>#N/A</v>
      </c>
      <c r="AE18" s="13" t="e">
        <f>VLOOKUP($AC18,'Hardware costs'!$B$4:$N$16,4,FALSE)</f>
        <v>#N/A</v>
      </c>
      <c r="AF18" s="13" t="e">
        <f>VLOOKUP($AC18,'Hardware costs'!$B$4:$N$16,5,FALSE)</f>
        <v>#N/A</v>
      </c>
      <c r="AG18" s="27" t="s">
        <v>167</v>
      </c>
      <c r="AH18" s="11"/>
      <c r="AI18" s="11"/>
      <c r="AJ18" s="11"/>
      <c r="AK18" s="11"/>
      <c r="AL18" s="11"/>
      <c r="AM18" s="11"/>
      <c r="AN18" s="11"/>
      <c r="AO18" s="11"/>
      <c r="AP18" s="21" t="e">
        <f>AQ18+AR18</f>
        <v>#N/A</v>
      </c>
      <c r="AQ18" s="21" t="e">
        <f>VLOOKUP($AT18,'Hardware costs'!$B$4:$W$16,MATCH($BG$4,'Hardware costs'!$B$3:$W$3, 0),FALSE) * 12</f>
        <v>#N/A</v>
      </c>
      <c r="AR18" s="21">
        <f>AX18/1000*VLOOKUP("HDD-1TB",'Hardware costs'!$B$4:$W$16,MATCH($BG$4,'Hardware costs'!$B$3:$W$3, 0),FALSE) * 12</f>
        <v>408</v>
      </c>
      <c r="AS18" s="11"/>
      <c r="AT18" s="53" t="s">
        <v>166</v>
      </c>
      <c r="AU18" s="12" t="e">
        <f>VLOOKUP($AT18,'Hardware costs'!$B$4:$N$16,3,FALSE)</f>
        <v>#N/A</v>
      </c>
      <c r="AV18" s="13" t="e">
        <f>VLOOKUP($AT18,'Hardware costs'!$B$4:$N$16,4,FALSE)</f>
        <v>#N/A</v>
      </c>
      <c r="AW18" s="13" t="e">
        <f>VLOOKUP($AT18,'Hardware costs'!$B$4:$N$16,5,FALSE)</f>
        <v>#N/A</v>
      </c>
      <c r="AX18" s="27" t="s">
        <v>167</v>
      </c>
      <c r="AY18" s="14">
        <f>1*(1+IF($BH$9="Yes",1,0)+IF($BH$14="Yes",1,0)+IF($BH$16="Yes",1,0))</f>
        <v>1</v>
      </c>
      <c r="AZ18" s="21" t="e">
        <f>AY18*AP18</f>
        <v>#N/A</v>
      </c>
      <c r="BA18" s="11"/>
      <c r="BB18" s="60" t="e">
        <f>N18+AZ18</f>
        <v>#N/A</v>
      </c>
      <c r="BC18" s="60"/>
      <c r="BD18" s="9"/>
    </row>
    <row r="19" spans="2:60" ht="24" customHeight="1">
      <c r="B19" s="9"/>
      <c r="C19" s="17" t="s">
        <v>168</v>
      </c>
      <c r="D19" s="22">
        <f>SUM(E19:F19)</f>
        <v>18290.88</v>
      </c>
      <c r="E19" s="21">
        <f>VLOOKUP($H19,'Hardware costs'!$B$4:$W$16,MATCH($BG$4,'Hardware costs'!$B$3:$W$3, 0),FALSE) * 12</f>
        <v>17474.88</v>
      </c>
      <c r="F19" s="21">
        <f>L19/1000*VLOOKUP("HDD-1TB",'Hardware costs'!$B$4:$W$16,MATCH($BG$4,'Hardware costs'!$B$3:$W$3, 0),FALSE) * 12</f>
        <v>816</v>
      </c>
      <c r="G19" s="11"/>
      <c r="H19" s="31" t="s">
        <v>169</v>
      </c>
      <c r="I19" s="34" t="str">
        <f>VLOOKUP($H19,'Hardware costs'!$B$4:$N$16,3,FALSE)</f>
        <v>Win SQL Server</v>
      </c>
      <c r="J19" s="34">
        <f>VLOOKUP($H19,'Hardware costs'!$B$4:$N$16,4,FALSE)</f>
        <v>8</v>
      </c>
      <c r="K19" s="34">
        <f>VLOOKUP($H19,'Hardware costs'!$B$4:$N$16,5,FALSE)</f>
        <v>16</v>
      </c>
      <c r="L19" s="36" t="s">
        <v>170</v>
      </c>
      <c r="M19" s="13">
        <f>M18</f>
        <v>1</v>
      </c>
      <c r="N19" s="21">
        <f>M19*D19</f>
        <v>18290.88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21">
        <f>Z19+AA19</f>
        <v>18290.88</v>
      </c>
      <c r="Z19" s="32">
        <f>VLOOKUP($AC19,'Hardware costs'!$B$4:$W$16,MATCH($BG$4,'Hardware costs'!$B$3:$W$3, 0),FALSE) * 12</f>
        <v>17474.88</v>
      </c>
      <c r="AA19" s="32">
        <f>AG19/1000*VLOOKUP("HDD-1TB",'Hardware costs'!$B$4:$W$16,MATCH($BG$4,'Hardware costs'!$B$3:$W$3, 0),FALSE) * 12</f>
        <v>816</v>
      </c>
      <c r="AB19" s="11"/>
      <c r="AC19" s="31" t="s">
        <v>169</v>
      </c>
      <c r="AD19" s="12" t="str">
        <f>VLOOKUP($AC19,'Hardware costs'!$B$4:$N$16,3,FALSE)</f>
        <v>Win SQL Server</v>
      </c>
      <c r="AE19" s="13">
        <f>VLOOKUP($AC19,'Hardware costs'!$B$4:$N$16,4,FALSE)</f>
        <v>8</v>
      </c>
      <c r="AF19" s="13">
        <f>VLOOKUP($AC19,'Hardware costs'!$B$4:$N$16,5,FALSE)</f>
        <v>16</v>
      </c>
      <c r="AG19" s="36" t="s">
        <v>170</v>
      </c>
      <c r="AH19" s="11"/>
      <c r="AI19" s="11"/>
      <c r="AJ19" s="11"/>
      <c r="AK19" s="11"/>
      <c r="AL19" s="11"/>
      <c r="AM19" s="11"/>
      <c r="AN19" s="11"/>
      <c r="AO19" s="11"/>
      <c r="AP19" s="21">
        <f>AQ19+AR19</f>
        <v>18290.88</v>
      </c>
      <c r="AQ19" s="21">
        <f>VLOOKUP($AT19,'Hardware costs'!$B$4:$W$16,MATCH($BG$4,'Hardware costs'!$B$3:$W$3, 0),FALSE) * 12</f>
        <v>17474.88</v>
      </c>
      <c r="AR19" s="21">
        <f>AX19/1000*VLOOKUP("HDD-1TB",'Hardware costs'!$B$4:$W$16,MATCH($BG$4,'Hardware costs'!$B$3:$W$3, 0),FALSE) * 12</f>
        <v>816</v>
      </c>
      <c r="AS19" s="11"/>
      <c r="AT19" s="53" t="s">
        <v>169</v>
      </c>
      <c r="AU19" s="12" t="str">
        <f>VLOOKUP($AT19,'Hardware costs'!$B$4:$N$16,3,FALSE)</f>
        <v>Win SQL Server</v>
      </c>
      <c r="AV19" s="13">
        <f>VLOOKUP($AT19,'Hardware costs'!$B$4:$N$16,4,FALSE)</f>
        <v>8</v>
      </c>
      <c r="AW19" s="13">
        <f>VLOOKUP($AT19,'Hardware costs'!$B$4:$N$16,5,FALSE)</f>
        <v>16</v>
      </c>
      <c r="AX19" s="36" t="s">
        <v>170</v>
      </c>
      <c r="AY19" s="14">
        <f>1*(1+IF($BH$9="Yes",1,0)+IF($BH$14="Yes",1,0)+IF($BH$16="Yes",1,0))</f>
        <v>1</v>
      </c>
      <c r="AZ19" s="21">
        <f>AY19*AP19</f>
        <v>18290.88</v>
      </c>
      <c r="BA19" s="11"/>
      <c r="BB19" s="60">
        <f t="shared" ref="BB19:BB21" si="0">N19+AZ19</f>
        <v>36581.760000000002</v>
      </c>
      <c r="BC19" s="60"/>
      <c r="BD19" s="9"/>
      <c r="BE19" s="9"/>
    </row>
    <row r="20" spans="2:60" ht="24" customHeight="1">
      <c r="B20" s="9"/>
      <c r="C20" s="17" t="s">
        <v>171</v>
      </c>
      <c r="D20" s="22">
        <f>SUM(E20:F20)</f>
        <v>3381.36</v>
      </c>
      <c r="E20" s="21">
        <f>VLOOKUP($H20,'Hardware costs'!$B$4:$W$16,MATCH($BG$4,'Hardware costs'!$B$3:$W$3, 0),FALSE) * 12</f>
        <v>2973.36</v>
      </c>
      <c r="F20" s="21">
        <f>L20/1000*VLOOKUP("HDD-1TB",'Hardware costs'!$B$4:$W$16,MATCH($BG$4,'Hardware costs'!$B$3:$W$3, 0),FALSE) * 12</f>
        <v>408</v>
      </c>
      <c r="G20" s="11"/>
      <c r="H20" s="31" t="s">
        <v>97</v>
      </c>
      <c r="I20" s="50" t="str">
        <f>VLOOKUP($H20,'Hardware costs'!$B$4:$N$16,3,FALSE)</f>
        <v>Win Server</v>
      </c>
      <c r="J20" s="34">
        <f>VLOOKUP($H20,'Hardware costs'!$B$4:$N$16,4,FALSE)</f>
        <v>4</v>
      </c>
      <c r="K20" s="34">
        <f>VLOOKUP($H20,'Hardware costs'!$B$4:$N$16,5,FALSE)</f>
        <v>16</v>
      </c>
      <c r="L20" s="28" t="s">
        <v>167</v>
      </c>
      <c r="M20" s="29">
        <v>1</v>
      </c>
      <c r="N20" s="21">
        <f>M20*D20</f>
        <v>3381.36</v>
      </c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21">
        <f>Z20+AA20</f>
        <v>3381.36</v>
      </c>
      <c r="Z20" s="32">
        <f>VLOOKUP($AC20,'Hardware costs'!$B$4:$W$16,MATCH($BG$4,'Hardware costs'!$B$3:$W$3, 0),FALSE) * 12</f>
        <v>2973.36</v>
      </c>
      <c r="AA20" s="32">
        <f>AG20/1000*VLOOKUP("HDD-1TB",'Hardware costs'!$B$4:$W$16,MATCH($BG$4,'Hardware costs'!$B$3:$W$3, 0),FALSE) * 12</f>
        <v>408</v>
      </c>
      <c r="AB20" s="11"/>
      <c r="AC20" s="31" t="s">
        <v>97</v>
      </c>
      <c r="AD20" s="52" t="str">
        <f>VLOOKUP($AC20,'Hardware costs'!$B$4:$N$16,3,FALSE)</f>
        <v>Win Server</v>
      </c>
      <c r="AE20" s="13">
        <f>VLOOKUP($AC20,'Hardware costs'!$B$4:$N$16,4,FALSE)</f>
        <v>4</v>
      </c>
      <c r="AF20" s="13">
        <f>VLOOKUP($AC20,'Hardware costs'!$B$4:$N$16,5,FALSE)</f>
        <v>16</v>
      </c>
      <c r="AG20" s="28" t="s">
        <v>167</v>
      </c>
      <c r="AH20" s="11"/>
      <c r="AI20" s="11"/>
      <c r="AJ20" s="11"/>
      <c r="AK20" s="11"/>
      <c r="AL20" s="11"/>
      <c r="AM20" s="11"/>
      <c r="AN20" s="11"/>
      <c r="AO20" s="11"/>
      <c r="AP20" s="21">
        <f>AQ20+AR20</f>
        <v>3381.36</v>
      </c>
      <c r="AQ20" s="21">
        <f>VLOOKUP($AT20,'Hardware costs'!$B$4:$W$16,MATCH($BG$4,'Hardware costs'!$B$3:$W$3, 0),FALSE) * 12</f>
        <v>2973.36</v>
      </c>
      <c r="AR20" s="21">
        <f>AX20/1000*VLOOKUP("HDD-1TB",'Hardware costs'!$B$4:$W$16,MATCH($BG$4,'Hardware costs'!$B$3:$W$3, 0),FALSE) * 12</f>
        <v>408</v>
      </c>
      <c r="AS20" s="11"/>
      <c r="AT20" s="53" t="s">
        <v>97</v>
      </c>
      <c r="AU20" s="52" t="str">
        <f>VLOOKUP($AT20,'Hardware costs'!$B$4:$N$16,3,FALSE)</f>
        <v>Win Server</v>
      </c>
      <c r="AV20" s="13">
        <f>VLOOKUP($AT20,'Hardware costs'!$B$4:$N$16,4,FALSE)</f>
        <v>4</v>
      </c>
      <c r="AW20" s="13">
        <f>VLOOKUP($AT20,'Hardware costs'!$B$4:$N$16,5,FALSE)</f>
        <v>16</v>
      </c>
      <c r="AX20" s="28" t="s">
        <v>167</v>
      </c>
      <c r="AY20" s="14">
        <f>1*(1+IF($BH$9="Yes",1,0)+IF($BH$14="Yes",1,0)+IF($BH$16="Yes",1,0))</f>
        <v>1</v>
      </c>
      <c r="AZ20" s="21">
        <f>AY20*AP20</f>
        <v>3381.36</v>
      </c>
      <c r="BA20" s="11"/>
      <c r="BB20" s="60">
        <f t="shared" si="0"/>
        <v>6762.72</v>
      </c>
      <c r="BC20" s="60"/>
      <c r="BD20" s="9"/>
      <c r="BE20" s="9"/>
    </row>
    <row r="21" spans="2:60" ht="24" customHeight="1">
      <c r="B21" s="9"/>
      <c r="C21" s="17" t="s">
        <v>172</v>
      </c>
      <c r="D21" s="22" t="e">
        <f>SUM(E21:F21)</f>
        <v>#N/A</v>
      </c>
      <c r="E21" s="21" t="e">
        <f>VLOOKUP($H21,'Hardware costs'!$B$4:$W$16,MATCH($BG$4,'Hardware costs'!$B$3:$W$3, 0),FALSE) * 12</f>
        <v>#N/A</v>
      </c>
      <c r="F21" s="21">
        <f>L21/1000*VLOOKUP("HDD-1TB",'Hardware costs'!$B$4:$W$16,MATCH($BG$4,'Hardware costs'!$B$3:$W$3, 0),FALSE) * 12</f>
        <v>102</v>
      </c>
      <c r="G21" s="11"/>
      <c r="H21" s="31" t="s">
        <v>166</v>
      </c>
      <c r="I21" s="50" t="e">
        <f>VLOOKUP($H21,'Hardware costs'!$B$4:$N$16,3,FALSE)</f>
        <v>#N/A</v>
      </c>
      <c r="J21" s="34" t="e">
        <f>VLOOKUP($H21,'Hardware costs'!$B$4:$N$16,4,FALSE)</f>
        <v>#N/A</v>
      </c>
      <c r="K21" s="34" t="e">
        <f>VLOOKUP($H21,'Hardware costs'!$B$4:$N$16,5,FALSE)</f>
        <v>#N/A</v>
      </c>
      <c r="L21" s="28" t="s">
        <v>173</v>
      </c>
      <c r="M21" s="29">
        <v>1</v>
      </c>
      <c r="N21" s="21" t="e">
        <f>M21*D21</f>
        <v>#N/A</v>
      </c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21" t="e">
        <f>Z21+AA21</f>
        <v>#N/A</v>
      </c>
      <c r="Z21" s="32" t="e">
        <f>VLOOKUP($AC21,'Hardware costs'!$B$4:$W$16,MATCH($BG$4,'Hardware costs'!$B$3:$W$3, 0),FALSE) * 12</f>
        <v>#N/A</v>
      </c>
      <c r="AA21" s="32">
        <f>AG21/1000*VLOOKUP("HDD-1TB",'Hardware costs'!$B$4:$W$16,MATCH($BG$4,'Hardware costs'!$B$3:$W$3, 0),FALSE) * 12</f>
        <v>102</v>
      </c>
      <c r="AB21" s="11"/>
      <c r="AC21" s="31" t="s">
        <v>166</v>
      </c>
      <c r="AD21" s="52" t="e">
        <f>VLOOKUP($AC21,'Hardware costs'!$B$4:$N$16,3,FALSE)</f>
        <v>#N/A</v>
      </c>
      <c r="AE21" s="13" t="e">
        <f>VLOOKUP($AC21,'Hardware costs'!$B$4:$N$16,4,FALSE)</f>
        <v>#N/A</v>
      </c>
      <c r="AF21" s="13" t="e">
        <f>VLOOKUP($AC21,'Hardware costs'!$B$4:$N$16,5,FALSE)</f>
        <v>#N/A</v>
      </c>
      <c r="AG21" s="28" t="s">
        <v>173</v>
      </c>
      <c r="AH21" s="11"/>
      <c r="AI21" s="11"/>
      <c r="AJ21" s="11"/>
      <c r="AK21" s="11"/>
      <c r="AL21" s="11"/>
      <c r="AM21" s="11"/>
      <c r="AN21" s="11"/>
      <c r="AO21" s="11"/>
      <c r="AP21" s="21" t="e">
        <f>AQ21+AR21</f>
        <v>#N/A</v>
      </c>
      <c r="AQ21" s="21" t="e">
        <f>VLOOKUP($AT21,'Hardware costs'!$B$4:$W$16,MATCH($BG$4,'Hardware costs'!$B$3:$W$3, 0),FALSE) * 12</f>
        <v>#N/A</v>
      </c>
      <c r="AR21" s="21">
        <f>AX21/1000*VLOOKUP("HDD-1TB",'Hardware costs'!$B$4:$W$16,MATCH($BG$4,'Hardware costs'!$B$3:$W$3, 0),FALSE) * 12</f>
        <v>102</v>
      </c>
      <c r="AS21" s="11"/>
      <c r="AT21" s="53" t="s">
        <v>166</v>
      </c>
      <c r="AU21" s="52" t="e">
        <f>VLOOKUP($AT21,'Hardware costs'!$B$4:$N$16,3,FALSE)</f>
        <v>#N/A</v>
      </c>
      <c r="AV21" s="13" t="e">
        <f>VLOOKUP($AT21,'Hardware costs'!$B$4:$N$16,4,FALSE)</f>
        <v>#N/A</v>
      </c>
      <c r="AW21" s="13" t="e">
        <f>VLOOKUP($AT21,'Hardware costs'!$B$4:$N$16,5,FALSE)</f>
        <v>#N/A</v>
      </c>
      <c r="AX21" s="28" t="s">
        <v>173</v>
      </c>
      <c r="AY21" s="29">
        <v>1</v>
      </c>
      <c r="AZ21" s="21" t="e">
        <f>AY21*AP21</f>
        <v>#N/A</v>
      </c>
      <c r="BA21" s="11"/>
      <c r="BB21" s="60" t="e">
        <f t="shared" si="0"/>
        <v>#N/A</v>
      </c>
      <c r="BC21" s="60"/>
      <c r="BD21" s="9"/>
      <c r="BE21" s="9"/>
    </row>
    <row r="22" spans="2:60" ht="24.95" customHeight="1">
      <c r="B22" s="65"/>
      <c r="C22" s="23" t="s">
        <v>174</v>
      </c>
      <c r="D22" s="26" t="e">
        <f>SUM(D18:D21)</f>
        <v>#N/A</v>
      </c>
      <c r="E22" s="26" t="e">
        <f>SUM(E18:E21)</f>
        <v>#N/A</v>
      </c>
      <c r="F22" s="26">
        <f>SUM(F18:F21)</f>
        <v>1734</v>
      </c>
      <c r="G22" s="24"/>
      <c r="H22" s="24"/>
      <c r="I22" s="24"/>
      <c r="J22" s="24"/>
      <c r="K22" s="24"/>
      <c r="L22" s="24"/>
      <c r="M22" s="24"/>
      <c r="N22" s="25" t="e">
        <f>SUM(N18:N21)</f>
        <v>#N/A</v>
      </c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 t="e">
        <f>SUM(Y18:Y21)</f>
        <v>#N/A</v>
      </c>
      <c r="Z22" s="25" t="e">
        <f>SUM(Z18:Z21)</f>
        <v>#N/A</v>
      </c>
      <c r="AA22" s="25">
        <f>SUM(AA18:AA21)</f>
        <v>1734</v>
      </c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5" t="e">
        <f>SUM(AP18:AP21)</f>
        <v>#N/A</v>
      </c>
      <c r="AQ22" s="25" t="e">
        <f>SUM(AQ18:AQ21)</f>
        <v>#N/A</v>
      </c>
      <c r="AR22" s="25">
        <f>SUM(AR18:AR21)</f>
        <v>1734</v>
      </c>
      <c r="AS22" s="24"/>
      <c r="AT22" s="24"/>
      <c r="AU22" s="24"/>
      <c r="AV22" s="24"/>
      <c r="AW22" s="24"/>
      <c r="AX22" s="24"/>
      <c r="AY22" s="24"/>
      <c r="AZ22" s="25" t="e">
        <f>SUM(AZ18:AZ21)</f>
        <v>#N/A</v>
      </c>
      <c r="BA22" s="24"/>
      <c r="BB22" s="61" t="e">
        <f>SUM(BB18:BB21)</f>
        <v>#N/A</v>
      </c>
      <c r="BC22" s="61"/>
      <c r="BD22" s="9"/>
      <c r="BE22" s="9"/>
    </row>
    <row r="23" spans="2:60" ht="39" customHeight="1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20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</row>
    <row r="24" spans="2:60" ht="32.1" customHeight="1">
      <c r="B24" s="67"/>
      <c r="C24" s="79" t="s">
        <v>175</v>
      </c>
      <c r="D24" s="154" t="s">
        <v>164</v>
      </c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54" t="s">
        <v>72</v>
      </c>
      <c r="Z24" s="154"/>
      <c r="AA24" s="154"/>
      <c r="AB24" s="154"/>
      <c r="AC24" s="154"/>
      <c r="AD24" s="154"/>
      <c r="AE24" s="154"/>
      <c r="AF24" s="154"/>
      <c r="AG24" s="154"/>
      <c r="AH24" s="141"/>
      <c r="AI24" s="141"/>
      <c r="AJ24" s="141"/>
      <c r="AK24" s="141"/>
      <c r="AL24" s="141"/>
      <c r="AM24" s="141"/>
      <c r="AN24" s="141"/>
      <c r="AO24" s="141"/>
      <c r="AP24" s="154" t="s">
        <v>73</v>
      </c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41"/>
      <c r="BB24" s="158" t="s">
        <v>74</v>
      </c>
      <c r="BC24" s="142"/>
      <c r="BD24" s="19"/>
      <c r="BE24" s="19"/>
    </row>
    <row r="25" spans="2:60" ht="33" customHeight="1">
      <c r="B25" s="68"/>
      <c r="C25" s="42" t="s">
        <v>76</v>
      </c>
      <c r="D25" s="40" t="s">
        <v>79</v>
      </c>
      <c r="E25" s="40" t="s">
        <v>82</v>
      </c>
      <c r="F25" s="40" t="s">
        <v>83</v>
      </c>
      <c r="G25" s="40"/>
      <c r="H25" s="42" t="s">
        <v>77</v>
      </c>
      <c r="I25" s="42" t="s">
        <v>84</v>
      </c>
      <c r="J25" s="40" t="s">
        <v>85</v>
      </c>
      <c r="K25" s="40" t="s">
        <v>86</v>
      </c>
      <c r="L25" s="40" t="s">
        <v>78</v>
      </c>
      <c r="M25" s="40" t="s">
        <v>80</v>
      </c>
      <c r="N25" s="40" t="s">
        <v>81</v>
      </c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 t="s">
        <v>79</v>
      </c>
      <c r="Z25" s="40" t="s">
        <v>82</v>
      </c>
      <c r="AA25" s="40" t="s">
        <v>83</v>
      </c>
      <c r="AB25" s="40"/>
      <c r="AC25" s="42" t="s">
        <v>77</v>
      </c>
      <c r="AD25" s="42" t="s">
        <v>84</v>
      </c>
      <c r="AE25" s="40" t="s">
        <v>85</v>
      </c>
      <c r="AF25" s="43" t="s">
        <v>86</v>
      </c>
      <c r="AG25" s="43" t="s">
        <v>78</v>
      </c>
      <c r="AH25" s="40"/>
      <c r="AI25" s="40"/>
      <c r="AJ25" s="40"/>
      <c r="AK25" s="40"/>
      <c r="AL25" s="40"/>
      <c r="AM25" s="40"/>
      <c r="AN25" s="40"/>
      <c r="AO25" s="40"/>
      <c r="AP25" s="40" t="s">
        <v>79</v>
      </c>
      <c r="AQ25" s="40" t="s">
        <v>82</v>
      </c>
      <c r="AR25" s="40" t="s">
        <v>83</v>
      </c>
      <c r="AS25" s="40"/>
      <c r="AT25" s="42" t="s">
        <v>77</v>
      </c>
      <c r="AU25" s="42" t="s">
        <v>84</v>
      </c>
      <c r="AV25" s="40" t="s">
        <v>85</v>
      </c>
      <c r="AW25" s="43" t="s">
        <v>86</v>
      </c>
      <c r="AX25" s="43" t="s">
        <v>78</v>
      </c>
      <c r="AY25" s="43" t="s">
        <v>80</v>
      </c>
      <c r="AZ25" s="43" t="s">
        <v>81</v>
      </c>
      <c r="BA25" s="63"/>
      <c r="BB25" s="158"/>
      <c r="BC25" s="142"/>
      <c r="BD25" s="19"/>
      <c r="BE25" s="19"/>
    </row>
    <row r="26" spans="2:60" ht="24.95" customHeight="1">
      <c r="B26" s="9"/>
      <c r="C26" s="17" t="s">
        <v>176</v>
      </c>
      <c r="D26" s="21" t="e">
        <f>SUM(E26:F26)</f>
        <v>#N/A</v>
      </c>
      <c r="E26" s="21" t="e">
        <f>VLOOKUP($H26,'Hardware costs'!$B$4:$W$16,MATCH($BG$4,'Hardware costs'!$B$3:$W$3, 0),FALSE) * 12</f>
        <v>#N/A</v>
      </c>
      <c r="F26" s="21">
        <f>L26/1000*VLOOKUP("HDD-1TB",'Hardware costs'!$B$4:$W$16,MATCH($BG$4,'Hardware costs'!$B$3:$W$3, 0),FALSE) * 12</f>
        <v>204</v>
      </c>
      <c r="G26" s="11"/>
      <c r="H26" s="31" t="s">
        <v>177</v>
      </c>
      <c r="I26" s="12" t="e">
        <f>VLOOKUP($H26,'Hardware costs'!$B$4:$N$16,3,FALSE)</f>
        <v>#N/A</v>
      </c>
      <c r="J26" s="34" t="e">
        <f>VLOOKUP($H26,'Hardware costs'!$B$4:$N$16,4,FALSE)</f>
        <v>#N/A</v>
      </c>
      <c r="K26" s="34" t="e">
        <f>VLOOKUP($H26,'Hardware costs'!$B$4:$N$16,5,FALSE)</f>
        <v>#N/A</v>
      </c>
      <c r="L26" s="36" t="s">
        <v>178</v>
      </c>
      <c r="M26" s="13">
        <v>1</v>
      </c>
      <c r="N26" s="21" t="e">
        <f>M26*D26</f>
        <v>#N/A</v>
      </c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1" t="e">
        <f>Z26+AA26</f>
        <v>#N/A</v>
      </c>
      <c r="Z26" s="32" t="e">
        <f>VLOOKUP($AC26,'Hardware costs'!$B$4:$W$16,MATCH($BG$4,'Hardware costs'!$B$3:$W$3, 0),FALSE) * 12</f>
        <v>#N/A</v>
      </c>
      <c r="AA26" s="32">
        <f>AG26/1000*VLOOKUP("HDD-1TB",'Hardware costs'!$B$4:$W$16,MATCH($BG$4,'Hardware costs'!$B$3:$W$3, 0),FALSE) * 12</f>
        <v>204</v>
      </c>
      <c r="AB26" s="11"/>
      <c r="AC26" s="31" t="s">
        <v>177</v>
      </c>
      <c r="AD26" s="12" t="e">
        <f>VLOOKUP($AC26,'Hardware costs'!$B$4:$N$16,3,FALSE)</f>
        <v>#N/A</v>
      </c>
      <c r="AE26" s="13" t="e">
        <f>VLOOKUP($AC26,'Hardware costs'!$B$4:$N$16,4,FALSE)</f>
        <v>#N/A</v>
      </c>
      <c r="AF26" s="13" t="e">
        <f>VLOOKUP($AC26,'Hardware costs'!$B$4:$N$16,5,FALSE)</f>
        <v>#N/A</v>
      </c>
      <c r="AG26" s="36" t="s">
        <v>178</v>
      </c>
      <c r="AH26" s="21"/>
      <c r="AI26" s="21"/>
      <c r="AJ26" s="21"/>
      <c r="AK26" s="21"/>
      <c r="AL26" s="21"/>
      <c r="AM26" s="21"/>
      <c r="AN26" s="21"/>
      <c r="AO26" s="21"/>
      <c r="AP26" s="21" t="e">
        <f>AQ26+AR26</f>
        <v>#N/A</v>
      </c>
      <c r="AQ26" s="21" t="e">
        <f>VLOOKUP($AT26,'Hardware costs'!$B$4:$W$16,MATCH($BG$4,'Hardware costs'!$B$3:$W$3, 0),FALSE) * 12</f>
        <v>#N/A</v>
      </c>
      <c r="AR26" s="21">
        <f>AX26/1000*VLOOKUP("HDD-1TB",'Hardware costs'!$B$4:$W$16,MATCH($BG$4,'Hardware costs'!$B$3:$W$3, 0),FALSE) * 12</f>
        <v>204</v>
      </c>
      <c r="AS26" s="11"/>
      <c r="AT26" s="31" t="s">
        <v>177</v>
      </c>
      <c r="AU26" s="12" t="e">
        <f>VLOOKUP($AT26,'Hardware costs'!$B$4:$N$16,3,FALSE)</f>
        <v>#N/A</v>
      </c>
      <c r="AV26" s="13" t="e">
        <f>VLOOKUP($AT26,'Hardware costs'!$B$4:$N$16,4,FALSE)</f>
        <v>#N/A</v>
      </c>
      <c r="AW26" s="13" t="e">
        <f>VLOOKUP($AT26,'Hardware costs'!$B$4:$N$16,5,FALSE)</f>
        <v>#N/A</v>
      </c>
      <c r="AX26" s="36" t="s">
        <v>178</v>
      </c>
      <c r="AY26" s="14">
        <f>1*(1+IF($BH$9="Yes",1,0)+IF($BH$14="Yes",1,0)+IF($BH$16="Yes",1,0))</f>
        <v>1</v>
      </c>
      <c r="AZ26" s="21" t="e">
        <f>AY26*AP26</f>
        <v>#N/A</v>
      </c>
      <c r="BA26" s="21"/>
      <c r="BB26" s="60" t="e">
        <f>N26+AZ26</f>
        <v>#N/A</v>
      </c>
      <c r="BC26" s="60"/>
      <c r="BD26" s="9"/>
      <c r="BE26" s="9"/>
    </row>
    <row r="27" spans="2:60" ht="24.95" customHeight="1">
      <c r="B27" s="9"/>
      <c r="C27" s="17" t="s">
        <v>168</v>
      </c>
      <c r="D27" s="21">
        <f>SUM(E27:F27)</f>
        <v>18494.88</v>
      </c>
      <c r="E27" s="21">
        <f>VLOOKUP($H27,'Hardware costs'!$B$4:$W$16,MATCH($BG$4,'Hardware costs'!$B$3:$W$3, 0),FALSE) * 12</f>
        <v>17474.88</v>
      </c>
      <c r="F27" s="21">
        <f>L27/1000*VLOOKUP("HDD-1TB",'Hardware costs'!$B$4:$W$16,MATCH($BG$4,'Hardware costs'!$B$3:$W$3, 0),FALSE) * 12</f>
        <v>1020</v>
      </c>
      <c r="G27" s="11"/>
      <c r="H27" s="31" t="s">
        <v>169</v>
      </c>
      <c r="I27" s="52" t="str">
        <f>VLOOKUP($H27,'Hardware costs'!$B$4:$N$16,3,FALSE)</f>
        <v>Win SQL Server</v>
      </c>
      <c r="J27" s="34">
        <f>VLOOKUP($H27,'Hardware costs'!$B$4:$N$16,4,FALSE)</f>
        <v>8</v>
      </c>
      <c r="K27" s="34">
        <f>VLOOKUP($H27,'Hardware costs'!$B$4:$N$16,5,FALSE)</f>
        <v>16</v>
      </c>
      <c r="L27" s="28" t="s">
        <v>179</v>
      </c>
      <c r="M27" s="29">
        <v>1</v>
      </c>
      <c r="N27" s="21">
        <f>M27*D27</f>
        <v>18494.88</v>
      </c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1">
        <f>Z27+AA27</f>
        <v>18494.88</v>
      </c>
      <c r="Z27" s="32">
        <f>VLOOKUP($AC27,'Hardware costs'!$B$4:$W$16,MATCH($BG$4,'Hardware costs'!$B$3:$W$3, 0),FALSE) * 12</f>
        <v>17474.88</v>
      </c>
      <c r="AA27" s="32">
        <f>AG27/1000*VLOOKUP("HDD-1TB",'Hardware costs'!$B$4:$W$16,MATCH($BG$4,'Hardware costs'!$B$3:$W$3, 0),FALSE) * 12</f>
        <v>1020</v>
      </c>
      <c r="AB27" s="11"/>
      <c r="AC27" s="31" t="s">
        <v>169</v>
      </c>
      <c r="AD27" s="52" t="str">
        <f>VLOOKUP($AC27,'Hardware costs'!$B$4:$N$16,3,FALSE)</f>
        <v>Win SQL Server</v>
      </c>
      <c r="AE27" s="13">
        <f>VLOOKUP($AC27,'Hardware costs'!$B$4:$N$16,4,FALSE)</f>
        <v>8</v>
      </c>
      <c r="AF27" s="13">
        <f>VLOOKUP($AC27,'Hardware costs'!$B$4:$N$16,5,FALSE)</f>
        <v>16</v>
      </c>
      <c r="AG27" s="28" t="s">
        <v>179</v>
      </c>
      <c r="AH27" s="21"/>
      <c r="AI27" s="21"/>
      <c r="AJ27" s="21"/>
      <c r="AK27" s="21"/>
      <c r="AL27" s="21"/>
      <c r="AM27" s="21"/>
      <c r="AN27" s="21"/>
      <c r="AO27" s="21"/>
      <c r="AP27" s="21">
        <f>AQ27+AR27</f>
        <v>18494.88</v>
      </c>
      <c r="AQ27" s="21">
        <f>VLOOKUP($AT27,'Hardware costs'!$B$4:$W$16,MATCH($BG$4,'Hardware costs'!$B$3:$W$3, 0),FALSE) * 12</f>
        <v>17474.88</v>
      </c>
      <c r="AR27" s="21">
        <f>AX27/1000*VLOOKUP("HDD-1TB",'Hardware costs'!$B$4:$W$16,MATCH($BG$4,'Hardware costs'!$B$3:$W$3, 0),FALSE) * 12</f>
        <v>1020</v>
      </c>
      <c r="AS27" s="11"/>
      <c r="AT27" s="31" t="s">
        <v>169</v>
      </c>
      <c r="AU27" s="52" t="str">
        <f>VLOOKUP($AT27,'Hardware costs'!$B$4:$N$16,3,FALSE)</f>
        <v>Win SQL Server</v>
      </c>
      <c r="AV27" s="13">
        <f>VLOOKUP($AT27,'Hardware costs'!$B$4:$N$16,4,FALSE)</f>
        <v>8</v>
      </c>
      <c r="AW27" s="13">
        <f>VLOOKUP($AT27,'Hardware costs'!$B$4:$N$16,5,FALSE)</f>
        <v>16</v>
      </c>
      <c r="AX27" s="28" t="s">
        <v>179</v>
      </c>
      <c r="AY27" s="14">
        <f>1*(1+IF($BH$9="Yes",1,0)+IF($BH$14="Yes",1,0)+IF($BH$16="Yes",1,0))</f>
        <v>1</v>
      </c>
      <c r="AZ27" s="21">
        <f>AY27*AP27</f>
        <v>18494.88</v>
      </c>
      <c r="BA27" s="21"/>
      <c r="BB27" s="60">
        <f t="shared" ref="BB27:BB28" si="1">N27+AZ27</f>
        <v>36989.760000000002</v>
      </c>
      <c r="BC27" s="60"/>
      <c r="BD27" s="9"/>
      <c r="BE27" s="9"/>
    </row>
    <row r="28" spans="2:60" ht="24.95" customHeight="1">
      <c r="B28" s="9"/>
      <c r="C28" s="17" t="s">
        <v>172</v>
      </c>
      <c r="D28" s="21">
        <f>SUM(E28:F28)</f>
        <v>1588.68</v>
      </c>
      <c r="E28" s="21">
        <f>VLOOKUP($H28,'Hardware costs'!$B$4:$W$16,MATCH($BG$4,'Hardware costs'!$B$3:$W$3, 0),FALSE) * 12</f>
        <v>1486.68</v>
      </c>
      <c r="F28" s="21">
        <f>L28/1000*VLOOKUP("HDD-1TB",'Hardware costs'!$B$4:$W$16,MATCH($BG$4,'Hardware costs'!$B$3:$W$3, 0),FALSE) * 12</f>
        <v>102</v>
      </c>
      <c r="G28" s="11"/>
      <c r="H28" s="31" t="s">
        <v>180</v>
      </c>
      <c r="I28" s="52" t="str">
        <f>VLOOKUP($H28,'Hardware costs'!$B$4:$N$16,3,FALSE)</f>
        <v>Win VDI</v>
      </c>
      <c r="J28" s="34">
        <f>VLOOKUP($H28,'Hardware costs'!$B$4:$N$16,4,FALSE)</f>
        <v>2</v>
      </c>
      <c r="K28" s="34">
        <f>VLOOKUP($H28,'Hardware costs'!$B$4:$N$16,5,FALSE)</f>
        <v>8</v>
      </c>
      <c r="L28" s="28" t="s">
        <v>173</v>
      </c>
      <c r="M28" s="29">
        <v>1</v>
      </c>
      <c r="N28" s="21">
        <f>M28*D28</f>
        <v>1588.68</v>
      </c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1">
        <f>Z28+AA28</f>
        <v>1588.68</v>
      </c>
      <c r="Z28" s="32">
        <f>VLOOKUP($AC28,'Hardware costs'!$B$4:$W$16,MATCH($BG$4,'Hardware costs'!$B$3:$W$3, 0),FALSE) * 12</f>
        <v>1486.68</v>
      </c>
      <c r="AA28" s="32">
        <f>AG28/1000*VLOOKUP("HDD-1TB",'Hardware costs'!$B$4:$W$16,MATCH($BG$4,'Hardware costs'!$B$3:$W$3, 0),FALSE) * 12</f>
        <v>102</v>
      </c>
      <c r="AB28" s="11"/>
      <c r="AC28" s="31" t="s">
        <v>180</v>
      </c>
      <c r="AD28" s="52" t="str">
        <f>VLOOKUP($AC28,'Hardware costs'!$B$4:$N$16,3,FALSE)</f>
        <v>Win VDI</v>
      </c>
      <c r="AE28" s="13">
        <f>VLOOKUP($AC28,'Hardware costs'!$B$4:$N$16,4,FALSE)</f>
        <v>2</v>
      </c>
      <c r="AF28" s="13">
        <f>VLOOKUP($AC28,'Hardware costs'!$B$4:$N$16,5,FALSE)</f>
        <v>8</v>
      </c>
      <c r="AG28" s="28" t="s">
        <v>173</v>
      </c>
      <c r="AH28" s="21"/>
      <c r="AI28" s="21"/>
      <c r="AJ28" s="21"/>
      <c r="AK28" s="21"/>
      <c r="AL28" s="21"/>
      <c r="AM28" s="21"/>
      <c r="AN28" s="21"/>
      <c r="AO28" s="21"/>
      <c r="AP28" s="21">
        <f>AQ28+AR28</f>
        <v>1588.68</v>
      </c>
      <c r="AQ28" s="21">
        <f>VLOOKUP($AT28,'Hardware costs'!$B$4:$W$16,MATCH($BG$4,'Hardware costs'!$B$3:$W$3, 0),FALSE) * 12</f>
        <v>1486.68</v>
      </c>
      <c r="AR28" s="21">
        <f>AX28/1000*VLOOKUP("HDD-1TB",'Hardware costs'!$B$4:$W$16,MATCH($BG$4,'Hardware costs'!$B$3:$W$3, 0),FALSE) * 12</f>
        <v>102</v>
      </c>
      <c r="AS28" s="11"/>
      <c r="AT28" s="31" t="s">
        <v>180</v>
      </c>
      <c r="AU28" s="52" t="str">
        <f>VLOOKUP($AT28,'Hardware costs'!$B$4:$N$16,3,FALSE)</f>
        <v>Win VDI</v>
      </c>
      <c r="AV28" s="13">
        <f>VLOOKUP($AT28,'Hardware costs'!$B$4:$N$16,4,FALSE)</f>
        <v>2</v>
      </c>
      <c r="AW28" s="13">
        <f>VLOOKUP($AT28,'Hardware costs'!$B$4:$N$16,5,FALSE)</f>
        <v>8</v>
      </c>
      <c r="AX28" s="28" t="s">
        <v>173</v>
      </c>
      <c r="AY28" s="29">
        <v>1</v>
      </c>
      <c r="AZ28" s="21">
        <f>AY28*AP28</f>
        <v>1588.68</v>
      </c>
      <c r="BA28" s="21"/>
      <c r="BB28" s="60">
        <f t="shared" si="1"/>
        <v>3177.36</v>
      </c>
      <c r="BC28" s="60"/>
      <c r="BD28" s="9"/>
      <c r="BE28" s="9"/>
    </row>
    <row r="29" spans="2:60" ht="24.95" customHeight="1">
      <c r="B29" s="69"/>
      <c r="C29" s="23" t="s">
        <v>174</v>
      </c>
      <c r="D29" s="25" t="e">
        <f>SUM(D26:D28)</f>
        <v>#N/A</v>
      </c>
      <c r="E29" s="25" t="e">
        <f>SUM(E26:E28)</f>
        <v>#N/A</v>
      </c>
      <c r="F29" s="25">
        <f>SUM(F26:F28)</f>
        <v>1326</v>
      </c>
      <c r="G29" s="24"/>
      <c r="H29" s="24"/>
      <c r="I29" s="24"/>
      <c r="J29" s="24"/>
      <c r="K29" s="24"/>
      <c r="L29" s="24"/>
      <c r="M29" s="24"/>
      <c r="N29" s="25" t="e">
        <f>SUM(N26:N28)</f>
        <v>#N/A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5" t="e">
        <f>SUM(Y26:Y28)</f>
        <v>#N/A</v>
      </c>
      <c r="Z29" s="25" t="e">
        <f>SUM(Z26:Z28)</f>
        <v>#N/A</v>
      </c>
      <c r="AA29" s="25">
        <f>SUM(AA26:AA28)</f>
        <v>1326</v>
      </c>
      <c r="AB29" s="24"/>
      <c r="AC29" s="24"/>
      <c r="AD29" s="24"/>
      <c r="AE29" s="24"/>
      <c r="AF29" s="24"/>
      <c r="AG29" s="24"/>
      <c r="AH29" s="25"/>
      <c r="AI29" s="25"/>
      <c r="AJ29" s="25"/>
      <c r="AK29" s="25"/>
      <c r="AL29" s="25"/>
      <c r="AM29" s="25"/>
      <c r="AN29" s="25"/>
      <c r="AO29" s="25"/>
      <c r="AP29" s="25" t="e">
        <f>SUM(AP26:AP28)</f>
        <v>#N/A</v>
      </c>
      <c r="AQ29" s="25" t="e">
        <f>SUM(AQ26:AQ28)</f>
        <v>#N/A</v>
      </c>
      <c r="AR29" s="25">
        <f>SUM(AR26:AR28)</f>
        <v>1326</v>
      </c>
      <c r="AS29" s="24"/>
      <c r="AT29" s="24"/>
      <c r="AU29" s="24"/>
      <c r="AV29" s="24"/>
      <c r="AW29" s="24"/>
      <c r="AX29" s="24"/>
      <c r="AY29" s="24"/>
      <c r="AZ29" s="25" t="e">
        <f>SUM(AZ26:AZ28)</f>
        <v>#N/A</v>
      </c>
      <c r="BA29" s="25"/>
      <c r="BB29" s="61" t="e">
        <f>SUM(BB26:BB28)</f>
        <v>#N/A</v>
      </c>
      <c r="BC29" s="61"/>
      <c r="BD29" s="9"/>
      <c r="BE29" s="9"/>
      <c r="BH29" s="1" t="s">
        <v>104</v>
      </c>
    </row>
    <row r="30" spans="2:60" ht="15" customHeight="1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62"/>
      <c r="BA30" s="62"/>
      <c r="BB30" s="62"/>
      <c r="BC30" s="62"/>
      <c r="BD30" s="9"/>
      <c r="BE30" s="9"/>
    </row>
    <row r="31" spans="2:60" ht="15" customHeight="1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10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</row>
    <row r="32" spans="2:60" ht="15" customHeight="1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0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</row>
    <row r="33" spans="2:57" ht="15" customHeight="1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 t="s">
        <v>104</v>
      </c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</row>
    <row r="34" spans="2:57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 t="s">
        <v>104</v>
      </c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</row>
    <row r="35" spans="2:57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</row>
    <row r="36" spans="2:57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</row>
    <row r="37" spans="2:57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</row>
    <row r="38" spans="2:57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0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</row>
    <row r="39" spans="2:57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0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</row>
    <row r="40" spans="2:57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</row>
    <row r="41" spans="2:57"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0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</row>
    <row r="42" spans="2:57"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10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</row>
    <row r="43" spans="2:57"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0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</row>
    <row r="44" spans="2:57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10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</row>
    <row r="45" spans="2:57"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10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</row>
    <row r="46" spans="2:57"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0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</row>
    <row r="47" spans="2:57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10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</row>
    <row r="48" spans="2:57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</row>
    <row r="49" spans="2:57"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10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</row>
    <row r="50" spans="2:57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10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</row>
    <row r="51" spans="2:57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10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</row>
    <row r="52" spans="2:57"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10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</row>
    <row r="53" spans="2:57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</row>
    <row r="54" spans="2:57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10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</row>
    <row r="55" spans="2:57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10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</row>
    <row r="56" spans="2:57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10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</row>
    <row r="57" spans="2:57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</row>
    <row r="58" spans="2:57"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10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</row>
    <row r="59" spans="2:57"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10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</row>
    <row r="60" spans="2:57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10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</row>
    <row r="61" spans="2:57"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10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</row>
    <row r="62" spans="2:57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10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</row>
    <row r="63" spans="2:57"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10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</row>
    <row r="64" spans="2:57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10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</row>
    <row r="65" spans="2:57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10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</row>
    <row r="66" spans="2:57"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10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</row>
    <row r="67" spans="2:57"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10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</row>
    <row r="68" spans="2:57"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10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</row>
    <row r="69" spans="2:57"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10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</row>
    <row r="70" spans="2:57"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10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</row>
    <row r="71" spans="2:57"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10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</row>
    <row r="72" spans="2:57"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</row>
    <row r="73" spans="2:57"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</row>
    <row r="74" spans="2:57"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10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</row>
    <row r="75" spans="2:57"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10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</row>
    <row r="76" spans="2:57"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10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</row>
    <row r="77" spans="2:57"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10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</row>
    <row r="78" spans="2:57"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10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</row>
    <row r="79" spans="2:57"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10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</row>
    <row r="80" spans="2:57"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1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</row>
    <row r="81" spans="2:57"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10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</row>
    <row r="82" spans="2:57"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10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</row>
    <row r="83" spans="2:57"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10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</row>
    <row r="84" spans="2:57"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10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</row>
    <row r="85" spans="2:57"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10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</row>
    <row r="86" spans="2:57"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10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</row>
    <row r="87" spans="2:57"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10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</row>
    <row r="88" spans="2:57"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10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</row>
    <row r="89" spans="2:57"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10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</row>
    <row r="90" spans="2:57"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10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</row>
    <row r="91" spans="2:57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10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</row>
    <row r="92" spans="2:57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10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</row>
    <row r="93" spans="2:57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10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</row>
    <row r="94" spans="2:57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10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</row>
    <row r="95" spans="2:57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10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</row>
    <row r="96" spans="2:57"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10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</row>
    <row r="97" spans="2:57"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10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</row>
  </sheetData>
  <mergeCells count="14">
    <mergeCell ref="D1:BH1"/>
    <mergeCell ref="D3:N3"/>
    <mergeCell ref="Y3:AG3"/>
    <mergeCell ref="AP3:AZ3"/>
    <mergeCell ref="BB3:BB4"/>
    <mergeCell ref="BG4:BH4"/>
    <mergeCell ref="D16:N16"/>
    <mergeCell ref="Y16:AG16"/>
    <mergeCell ref="AP16:AZ16"/>
    <mergeCell ref="BB16:BB17"/>
    <mergeCell ref="D24:N24"/>
    <mergeCell ref="Y24:AG24"/>
    <mergeCell ref="AP24:AZ24"/>
    <mergeCell ref="BB24:BB25"/>
  </mergeCells>
  <dataValidations count="1">
    <dataValidation type="list" allowBlank="1" showInputMessage="1" showErrorMessage="1" sqref="BH7:BH9 BH12:BH16" xr:uid="{2FCB17EE-B871-B644-B7DC-CA0A713FE251}">
      <formula1>"Yes,No"</formula1>
    </dataValidation>
  </dataValidations>
  <pageMargins left="0.7" right="0.7" top="0.75" bottom="0.75" header="0.3" footer="0.3"/>
  <pageSetup paperSize="10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89CB98E-6544-A148-A476-05EFC975E6CF}">
          <x14:formula1>
            <xm:f>'Hardware costs'!$L$3:$P$3</xm:f>
          </x14:formula1>
          <xm:sqref>BG4:BH4</xm:sqref>
        </x14:dataValidation>
        <x14:dataValidation type="list" allowBlank="1" showInputMessage="1" showErrorMessage="1" xr:uid="{FB7AE71A-3487-6C45-B380-064EE4B1B56F}">
          <x14:formula1>
            <xm:f>'Hardware costs'!$B$4:$B$16</xm:f>
          </x14:formula1>
          <xm:sqref>AT26:AT28 AT18:AT21 H26:H28 H18:H21 AC18:AC21 AC26:AC28 AT5:AT12 AC5:AC12 H5:H12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4"/>
  <sheetViews>
    <sheetView showGridLines="0" workbookViewId="0">
      <pane ySplit="1" topLeftCell="A2" activePane="bottomLeft" state="frozen"/>
      <selection pane="bottomLeft" activeCell="G22" sqref="G22"/>
    </sheetView>
  </sheetViews>
  <sheetFormatPr defaultColWidth="10.85546875" defaultRowHeight="15"/>
  <cols>
    <col min="1" max="1" width="2.7109375" customWidth="1"/>
    <col min="2" max="2" width="26.28515625" customWidth="1"/>
    <col min="3" max="3" width="18.140625" bestFit="1" customWidth="1"/>
    <col min="6" max="6" width="9.85546875" customWidth="1"/>
    <col min="7" max="8" width="3.85546875" customWidth="1"/>
  </cols>
  <sheetData>
    <row r="1" spans="1:8" ht="60" customHeight="1">
      <c r="B1" s="159" t="s">
        <v>181</v>
      </c>
      <c r="C1" s="159"/>
      <c r="D1" s="159"/>
      <c r="E1" s="159"/>
    </row>
    <row r="2" spans="1:8" ht="20.100000000000001" customHeight="1">
      <c r="B2" s="143"/>
      <c r="C2" s="143"/>
      <c r="D2" s="143"/>
      <c r="E2" s="143"/>
    </row>
    <row r="3" spans="1:8" ht="39.950000000000003" customHeight="1">
      <c r="B3" s="85" t="s">
        <v>163</v>
      </c>
      <c r="C3" s="85" t="s">
        <v>84</v>
      </c>
      <c r="D3" s="102" t="s">
        <v>85</v>
      </c>
      <c r="E3" s="102" t="s">
        <v>86</v>
      </c>
      <c r="F3" s="102" t="s">
        <v>78</v>
      </c>
      <c r="G3" s="102"/>
      <c r="H3" s="85"/>
    </row>
    <row r="4" spans="1:8" s="100" customFormat="1" ht="32.1" customHeight="1">
      <c r="A4" s="86"/>
      <c r="B4" s="86" t="s">
        <v>165</v>
      </c>
      <c r="C4" s="86" t="s">
        <v>182</v>
      </c>
      <c r="D4" s="101">
        <v>4</v>
      </c>
      <c r="E4" s="101">
        <v>4</v>
      </c>
      <c r="F4" s="101">
        <v>200</v>
      </c>
      <c r="G4" s="101"/>
      <c r="H4" s="86"/>
    </row>
    <row r="5" spans="1:8" s="100" customFormat="1" ht="32.1" customHeight="1">
      <c r="A5" s="86"/>
      <c r="B5" s="86" t="s">
        <v>168</v>
      </c>
      <c r="C5" s="86" t="s">
        <v>183</v>
      </c>
      <c r="D5" s="101">
        <v>8</v>
      </c>
      <c r="E5" s="101">
        <v>16</v>
      </c>
      <c r="F5" s="101">
        <v>400</v>
      </c>
      <c r="G5" s="101"/>
      <c r="H5" s="86"/>
    </row>
    <row r="6" spans="1:8" s="100" customFormat="1" ht="32.1" customHeight="1">
      <c r="A6" s="86"/>
      <c r="B6" s="86" t="s">
        <v>171</v>
      </c>
      <c r="C6" s="86" t="s">
        <v>182</v>
      </c>
      <c r="D6" s="101">
        <v>4</v>
      </c>
      <c r="E6" s="101">
        <v>12</v>
      </c>
      <c r="F6" s="101">
        <v>200</v>
      </c>
      <c r="G6" s="101"/>
      <c r="H6" s="86"/>
    </row>
    <row r="7" spans="1:8" s="100" customFormat="1" ht="32.1" customHeight="1">
      <c r="A7" s="86"/>
      <c r="B7" s="86" t="s">
        <v>172</v>
      </c>
      <c r="C7" s="86" t="s">
        <v>182</v>
      </c>
      <c r="D7" s="101">
        <v>4</v>
      </c>
      <c r="E7" s="101">
        <v>8</v>
      </c>
      <c r="F7" s="101">
        <v>50</v>
      </c>
      <c r="G7" s="101"/>
      <c r="H7" s="86"/>
    </row>
    <row r="8" spans="1:8" s="100" customFormat="1" ht="32.1" customHeight="1">
      <c r="A8" s="86"/>
      <c r="B8" s="86"/>
      <c r="C8" s="86"/>
      <c r="D8" s="101"/>
      <c r="E8" s="101"/>
      <c r="F8" s="101"/>
      <c r="G8" s="101"/>
      <c r="H8" s="86"/>
    </row>
    <row r="9" spans="1:8" s="100" customFormat="1" ht="32.1" customHeight="1">
      <c r="A9" s="99"/>
      <c r="B9" s="85" t="s">
        <v>175</v>
      </c>
      <c r="C9" s="85" t="s">
        <v>84</v>
      </c>
      <c r="D9" s="102" t="s">
        <v>85</v>
      </c>
      <c r="E9" s="102" t="s">
        <v>86</v>
      </c>
      <c r="F9" s="102" t="s">
        <v>78</v>
      </c>
      <c r="G9" s="102"/>
      <c r="H9" s="85"/>
    </row>
    <row r="10" spans="1:8" s="100" customFormat="1" ht="32.1" customHeight="1">
      <c r="A10" s="86"/>
      <c r="B10" s="86" t="s">
        <v>176</v>
      </c>
      <c r="C10" s="86" t="s">
        <v>182</v>
      </c>
      <c r="D10" s="101">
        <v>8</v>
      </c>
      <c r="E10" s="101">
        <v>8</v>
      </c>
      <c r="F10" s="101">
        <v>100</v>
      </c>
      <c r="G10" s="101"/>
      <c r="H10" s="86"/>
    </row>
    <row r="11" spans="1:8" s="100" customFormat="1" ht="32.1" customHeight="1">
      <c r="A11" s="86"/>
      <c r="B11" s="86" t="s">
        <v>168</v>
      </c>
      <c r="C11" s="86" t="s">
        <v>183</v>
      </c>
      <c r="D11" s="101">
        <v>8</v>
      </c>
      <c r="E11" s="101">
        <v>16</v>
      </c>
      <c r="F11" s="101">
        <v>500</v>
      </c>
      <c r="G11" s="101"/>
      <c r="H11" s="86"/>
    </row>
    <row r="12" spans="1:8" s="100" customFormat="1" ht="32.1" customHeight="1">
      <c r="A12" s="86"/>
      <c r="B12" s="86" t="s">
        <v>172</v>
      </c>
      <c r="C12" s="86" t="s">
        <v>182</v>
      </c>
      <c r="D12" s="101">
        <v>2</v>
      </c>
      <c r="E12" s="101">
        <v>8</v>
      </c>
      <c r="F12" s="101">
        <v>50</v>
      </c>
      <c r="G12" s="101"/>
      <c r="H12" s="86"/>
    </row>
    <row r="13" spans="1:8" s="100" customFormat="1" ht="32.1" customHeight="1">
      <c r="A13" s="86"/>
      <c r="B13" s="86" t="s">
        <v>172</v>
      </c>
      <c r="C13" s="86"/>
      <c r="D13" s="86"/>
      <c r="E13" s="86"/>
      <c r="F13" s="86"/>
      <c r="G13" s="86"/>
      <c r="H13" s="86"/>
    </row>
    <row r="14" spans="1:8" s="100" customFormat="1" ht="24" customHeight="1">
      <c r="A14" s="86"/>
      <c r="B14" s="86"/>
      <c r="C14" s="86"/>
      <c r="D14" s="86"/>
      <c r="E14" s="86"/>
      <c r="F14" s="86"/>
      <c r="G14" s="86"/>
      <c r="H14" s="86"/>
    </row>
    <row r="15" spans="1:8" s="100" customFormat="1" ht="32.1" customHeight="1">
      <c r="A15" s="86"/>
      <c r="B15" s="86" t="s">
        <v>153</v>
      </c>
      <c r="C15" s="103">
        <v>43349</v>
      </c>
      <c r="D15" s="86"/>
      <c r="E15" s="86"/>
      <c r="F15" s="86"/>
      <c r="G15" s="86"/>
      <c r="H15" s="86"/>
    </row>
    <row r="19" spans="2:8" ht="15.95">
      <c r="B19" s="85" t="s">
        <v>184</v>
      </c>
      <c r="C19" s="85" t="s">
        <v>84</v>
      </c>
      <c r="D19" s="102" t="s">
        <v>85</v>
      </c>
      <c r="E19" s="102" t="s">
        <v>86</v>
      </c>
      <c r="F19" s="102" t="s">
        <v>78</v>
      </c>
      <c r="G19" s="102"/>
      <c r="H19" s="85"/>
    </row>
    <row r="20" spans="2:8">
      <c r="B20" s="86" t="s">
        <v>176</v>
      </c>
      <c r="C20" s="86" t="s">
        <v>182</v>
      </c>
      <c r="D20" s="101">
        <v>8</v>
      </c>
      <c r="E20" s="101">
        <v>16</v>
      </c>
      <c r="F20" s="101">
        <v>500</v>
      </c>
      <c r="G20" s="101"/>
      <c r="H20" s="86"/>
    </row>
    <row r="21" spans="2:8">
      <c r="B21" s="86" t="s">
        <v>168</v>
      </c>
      <c r="C21" s="86" t="s">
        <v>183</v>
      </c>
      <c r="D21" s="101">
        <v>8</v>
      </c>
      <c r="E21" s="101">
        <v>16</v>
      </c>
      <c r="F21" s="101">
        <v>500</v>
      </c>
      <c r="G21" s="101"/>
      <c r="H21" s="86"/>
    </row>
    <row r="22" spans="2:8">
      <c r="B22" s="86" t="s">
        <v>172</v>
      </c>
      <c r="C22" s="86" t="s">
        <v>182</v>
      </c>
      <c r="D22" s="101">
        <v>2</v>
      </c>
      <c r="E22" s="101">
        <v>8</v>
      </c>
      <c r="F22" s="101">
        <v>50</v>
      </c>
      <c r="G22" s="101"/>
      <c r="H22" s="86"/>
    </row>
    <row r="23" spans="2:8">
      <c r="B23" s="86" t="s">
        <v>185</v>
      </c>
      <c r="C23" s="86" t="s">
        <v>182</v>
      </c>
      <c r="D23" s="101">
        <v>8</v>
      </c>
      <c r="E23" s="101">
        <v>16</v>
      </c>
      <c r="F23" s="101"/>
      <c r="G23" s="86"/>
      <c r="H23" s="86"/>
    </row>
    <row r="24" spans="2:8">
      <c r="D24" s="101"/>
    </row>
  </sheetData>
  <mergeCells count="1">
    <mergeCell ref="B1:E1"/>
  </mergeCells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9D2718EA81564B88B25518427FD41D" ma:contentTypeVersion="8" ma:contentTypeDescription="Create a new document." ma:contentTypeScope="" ma:versionID="043c2b5a824d06c695ee0d821c5355c1">
  <xsd:schema xmlns:xsd="http://www.w3.org/2001/XMLSchema" xmlns:xs="http://www.w3.org/2001/XMLSchema" xmlns:p="http://schemas.microsoft.com/office/2006/metadata/properties" xmlns:ns2="487c3b98-3384-4435-8e8d-fb475675d8b9" targetNamespace="http://schemas.microsoft.com/office/2006/metadata/properties" ma:root="true" ma:fieldsID="65a30a04860ab6f78cafac623ea600d1" ns2:_="">
    <xsd:import namespace="487c3b98-3384-4435-8e8d-fb475675d8b9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7c3b98-3384-4435-8e8d-fb475675d8b9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lcf76f155ced4ddcb4097134ff3c332f0" ma:index="11" nillable="true" ma:displayName="Image Tags_0" ma:hidden="true" ma:internalName="lcf76f155ced4ddcb4097134ff3c332f0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Version xmlns="487c3b98-3384-4435-8e8d-fb475675d8b9" xsi:nil="true"/>
    <lcf76f155ced4ddcb4097134ff3c332f0 xmlns="487c3b98-3384-4435-8e8d-fb475675d8b9" xsi:nil="true"/>
    <MigrationWizId xmlns="487c3b98-3384-4435-8e8d-fb475675d8b9">0146dd27-957e-4bdf-a5a0-fa31d8f22977</MigrationWizId>
    <MigrationWizIdPermissions xmlns="487c3b98-3384-4435-8e8d-fb475675d8b9" xsi:nil="true"/>
  </documentManagement>
</p:properties>
</file>

<file path=customXml/itemProps1.xml><?xml version="1.0" encoding="utf-8"?>
<ds:datastoreItem xmlns:ds="http://schemas.openxmlformats.org/officeDocument/2006/customXml" ds:itemID="{6B098C7A-5C86-4DF9-8350-1F5E783CA67D}"/>
</file>

<file path=customXml/itemProps2.xml><?xml version="1.0" encoding="utf-8"?>
<ds:datastoreItem xmlns:ds="http://schemas.openxmlformats.org/officeDocument/2006/customXml" ds:itemID="{C0605DC3-F6D8-45D7-8464-13B3E43EC132}"/>
</file>

<file path=customXml/itemProps3.xml><?xml version="1.0" encoding="utf-8"?>
<ds:datastoreItem xmlns:ds="http://schemas.openxmlformats.org/officeDocument/2006/customXml" ds:itemID="{2E4C7EBB-77BA-4798-ADC4-6C02B57352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/>
  <cp:revision/>
  <dcterms:created xsi:type="dcterms:W3CDTF">2017-06-29T04:03:17Z</dcterms:created>
  <dcterms:modified xsi:type="dcterms:W3CDTF">2022-12-02T13:47:36Z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0x010100679D2718EA81564B88B25518427FD41D</vt:lpwstr>
  </property>
  <property fmtid="{D5CDD505-2E9C-101B-9397-08002B2CF9AE}" pid="3" name="AuthorIds_UIVersion_512">
    <vt:lpwstr>16</vt:lpwstr>
  </property>
  <property fmtid="{D5CDD505-2E9C-101B-9397-08002B2CF9AE}" pid="4" name="AuthorIds_UIVersion_2560">
    <vt:lpwstr>16</vt:lpwstr>
  </property>
  <property fmtid="{D5CDD505-2E9C-101B-9397-08002B2CF9AE}" pid="5" name="MediaServiceImageTags">
    <vt:lpwstr/>
  </property>
  <property fmtid="{D5CDD505-2E9C-101B-9397-08002B2CF9AE}" pid="6" name="Order">
    <vt:r8>700</vt:r8>
  </property>
</Properties>
</file>